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S:\proj_plan\DEPARTAMENTO DE PROJETOS\PROJETOS ANALISAR\2017\VARZEA- GRANDE\E.E Souza Lima\Planilha Orçamentária\"/>
    </mc:Choice>
  </mc:AlternateContent>
  <bookViews>
    <workbookView xWindow="0" yWindow="0" windowWidth="15345" windowHeight="4050" tabRatio="849" firstSheet="1" activeTab="2"/>
  </bookViews>
  <sheets>
    <sheet name="CPU" sheetId="80" state="hidden" r:id="rId1"/>
    <sheet name="RESUMO" sheetId="9" r:id="rId2"/>
    <sheet name="PLANILHA ORÇAMENTARIA" sheetId="7" r:id="rId3"/>
    <sheet name="CRONOGRAMA" sheetId="8" state="hidden" r:id="rId4"/>
    <sheet name="GLP" sheetId="65" state="hidden" r:id="rId5"/>
    <sheet name="ARQ - BLOCO DE SALAS" sheetId="71" state="hidden" r:id="rId6"/>
    <sheet name="EST- ARQUIBANCADA" sheetId="73" state="hidden" r:id="rId7"/>
    <sheet name="HIDROSANITÁRIO" sheetId="70" state="hidden" r:id="rId8"/>
    <sheet name="ARQ - REFEITÓRIO" sheetId="69" state="hidden" r:id="rId9"/>
    <sheet name="ARQ - QUADRA e VESTIÁRIOS" sheetId="68" state="hidden" r:id="rId10"/>
    <sheet name="LÓGICA" sheetId="74" state="hidden" r:id="rId11"/>
    <sheet name="ELÉTRICO" sheetId="67" state="hidden" r:id="rId12"/>
    <sheet name="SPDA" sheetId="66" state="hidden" r:id="rId13"/>
    <sheet name="INCÊNDIO" sheetId="64" state="hidden" r:id="rId14"/>
    <sheet name="EST - QUADRA" sheetId="63" state="hidden" r:id="rId15"/>
    <sheet name="EST - BLOCOS 01_02" sheetId="62" state="hidden" r:id="rId16"/>
    <sheet name="EST - REFEITÓRIO 17_03" sheetId="61" state="hidden" r:id="rId17"/>
    <sheet name="EST - PERGOLADO PLAYGROUD" sheetId="55" state="hidden" r:id="rId18"/>
    <sheet name="DRENAGEM" sheetId="72" state="hidden" r:id="rId19"/>
    <sheet name="ENCARGOS SOCIAIS" sheetId="60" state="hidden" r:id="rId20"/>
    <sheet name="BDI - Aliquota ISSQN - 5,0%" sheetId="76" state="hidden" r:id="rId21"/>
    <sheet name="BDI_ Equipamento" sheetId="77" state="hidden" r:id="rId22"/>
    <sheet name="MAPA COTAÇÃO" sheetId="78" state="hidden" r:id="rId23"/>
    <sheet name="REFERENCIAS COMP." sheetId="79" state="hidden" r:id="rId24"/>
  </sheets>
  <externalReferences>
    <externalReference r:id="rId25"/>
    <externalReference r:id="rId26"/>
  </externalReferences>
  <definedNames>
    <definedName name="_xlnm._FilterDatabase" localSheetId="0" hidden="1">CPU!$B$1:$B$1207</definedName>
    <definedName name="_xlnm._FilterDatabase" localSheetId="2" hidden="1">'PLANILHA ORÇAMENTARIA'!$H$1:$H$848</definedName>
    <definedName name="_xlnm.Print_Area" localSheetId="20">'BDI - Aliquota ISSQN - 5,0%'!$A$1:$C$35</definedName>
    <definedName name="_xlnm.Print_Area" localSheetId="0">CPU!$A$1:$H$1206</definedName>
    <definedName name="_xlnm.Print_Area" localSheetId="19">'ENCARGOS SOCIAIS'!$A$1:$D$38</definedName>
    <definedName name="_xlnm.Print_Area" localSheetId="22">'MAPA COTAÇÃO'!$A$1:$J$338</definedName>
    <definedName name="BDI">'[1]estimativa de custo IRMA DULCE'!$I$7</definedName>
    <definedName name="COMPOSICAO133">[1]ELÉTRICA!#REF!</definedName>
    <definedName name="COMPOSICAOC138">[1]INFRA!#REF!</definedName>
    <definedName name="COMPOSICAOE131">[1]ELÉTRICA!#REF!</definedName>
    <definedName name="COMPOSICAOE132">[1]ELÉTRICA!#REF!</definedName>
    <definedName name="COMPOSICAOE133">[1]ELÉTRICA!#REF!</definedName>
    <definedName name="COMPOSICAOE134">[1]ELÉTRICA!#REF!</definedName>
    <definedName name="COMPOSICAOE136">[1]ELÉTRICA!$F$25</definedName>
    <definedName name="COMPOSICAOE137">[1]ELÉTRICA!#REF!</definedName>
    <definedName name="COMPOSICAOE139">[1]ELÉTRICA!#REF!</definedName>
    <definedName name="COMPOSICAOE140">[1]ELÉTRICA!#REF!</definedName>
    <definedName name="COMPOSICAOE141">[1]ELÉTRICA!#REF!</definedName>
    <definedName name="COMPOSICAOE142">[1]ELÉTRICA!#REF!</definedName>
    <definedName name="COMPOSICAOE143">[1]ELÉTRICA!#REF!</definedName>
    <definedName name="COMPOSICAOE144">[1]ELÉTRICA!#REF!</definedName>
    <definedName name="COMPOSICAOE145">[1]ELÉTRICA!#REF!</definedName>
    <definedName name="COMPOSICAOE146">[1]ELÉTRICA!#REF!</definedName>
    <definedName name="COMPOSICAOE147">[1]ELÉTRICA!#REF!</definedName>
    <definedName name="COMPOSICAOE148">[1]ELÉTRICA!#REF!</definedName>
    <definedName name="COMPOSICAOE149">[1]ELÉTRICA!#REF!</definedName>
    <definedName name="COMPOSICAOE150">[1]ELÉTRICA!#REF!</definedName>
    <definedName name="COMPOSICAOE151">[1]ELÉTRICA!#REF!</definedName>
    <definedName name="COMPOSICAOE152">[1]ELÉTRICA!#REF!</definedName>
    <definedName name="COMPOSICAOE154">[1]ELÉTRICA!#REF!</definedName>
    <definedName name="COMPOSICAOE19">#REF!</definedName>
    <definedName name="COMPOSICAOE20">#REF!</definedName>
    <definedName name="COMPOSICAOE21">#REF!</definedName>
    <definedName name="COMPOSICAOE22">#REF!</definedName>
    <definedName name="COMPOSICAOE23">#REF!</definedName>
    <definedName name="COMPOSICAOE24">#REF!</definedName>
    <definedName name="COMPOSICAOI1">#REF!</definedName>
    <definedName name="COMPOSICAOI10">#REF!</definedName>
    <definedName name="COMPOSICAOI100">[1]INFRA!$F$80</definedName>
    <definedName name="COMPOSICAOI101">[1]INFRA!$F$98</definedName>
    <definedName name="COMPOSICAOI102">[1]INFRA!$F$116</definedName>
    <definedName name="COMPOSICAOI103">[1]INFRA!$F$134</definedName>
    <definedName name="COMPOSICAOI104">[1]INFRA!$F$152</definedName>
    <definedName name="COMPOSICAOI105">[1]INFRA!$F$170</definedName>
    <definedName name="COMPOSICAOI106">[1]INFRA!$F$188</definedName>
    <definedName name="COMPOSICAOI107">[1]INFRA!$F$206</definedName>
    <definedName name="COMPOSICAOI108">[1]INFRA!$F$224</definedName>
    <definedName name="COMPOSICAOI109">[1]INFRA!#REF!</definedName>
    <definedName name="COMPOSICAOI11">#REF!</definedName>
    <definedName name="COMPOSICAOI110">[1]INFRA!#REF!</definedName>
    <definedName name="COMPOSICAOI111">[1]INFRA!$F$242</definedName>
    <definedName name="COMPOSICAOI112">[1]INFRA!$F$261</definedName>
    <definedName name="COMPOSICAOI113">[1]INFRA!$F$279</definedName>
    <definedName name="COMPOSICAOI114">[1]INFRA!#REF!</definedName>
    <definedName name="COMPOSICAOI115">[1]INFRA!#REF!</definedName>
    <definedName name="COMPOSICAOI116">[1]INFRA!$F$297</definedName>
    <definedName name="COMPOSICAOI117">[1]INFRA!#REF!</definedName>
    <definedName name="COMPOSICAOI118">[1]INFRA!$F$315</definedName>
    <definedName name="COMPOSICAOI119">[1]INFRA!#REF!</definedName>
    <definedName name="COMPOSICAOI12">#REF!</definedName>
    <definedName name="COMPOSICAOI120">[1]INFRA!$F$334</definedName>
    <definedName name="COMPOSICAOI121">[1]INFRA!$F$352</definedName>
    <definedName name="COMPOSICAOI122">[1]INFRA!$F$370</definedName>
    <definedName name="COMPOSICAOI123">[1]INFRA!$F$388</definedName>
    <definedName name="COMPOSICAOI124">[1]INFRA!$F$406</definedName>
    <definedName name="COMPOSICAOI125">[1]INFRA!$F$424</definedName>
    <definedName name="COMPOSICAOI126">[1]INFRA!$F$442</definedName>
    <definedName name="COMPOSICAOI127">[1]INFRA!$F$460</definedName>
    <definedName name="COMPOSICAOI128">[1]INFRA!$F$478</definedName>
    <definedName name="COMPOSICAOI129">[1]INFRA!$F$496</definedName>
    <definedName name="COMPOSICAOI13">#REF!</definedName>
    <definedName name="COMPOSICAOI130">[1]INFRA!$F$514</definedName>
    <definedName name="COMPOSICAOI135">[1]ELÉTRICA!#REF!</definedName>
    <definedName name="COMPOSICAOI14">#REF!</definedName>
    <definedName name="COMPOSICAOI15">#REF!</definedName>
    <definedName name="COMPOSICAOI153">[1]INFRA!#REF!</definedName>
    <definedName name="COMPOSICAOI155">[1]INFRA!#REF!</definedName>
    <definedName name="COMPOSICAOI156">[1]INFRA!#REF!</definedName>
    <definedName name="COMPOSICAOI157">[1]INFRA!#REF!</definedName>
    <definedName name="COMPOSICAOI16">#REF!</definedName>
    <definedName name="COMPOSICAOI17">#REF!</definedName>
    <definedName name="COMPOSICAOI18">#REF!</definedName>
    <definedName name="COMPOSICAOI2">#REF!</definedName>
    <definedName name="COMPOSICAOI200">[1]INFRA!#REF!</definedName>
    <definedName name="COMPOSICAOI202">[1]INFRA!#REF!</definedName>
    <definedName name="COMPOSICAOI203">[1]INFRA!$F$532</definedName>
    <definedName name="COMPOSICAOI204">[1]INFRA!#REF!</definedName>
    <definedName name="COMPOSICAOI3">#REF!</definedName>
    <definedName name="COMPOSICAOI4">#REF!</definedName>
    <definedName name="COMPOSICAOI5">#REF!</definedName>
    <definedName name="COMPOSICAOI6">#REF!</definedName>
    <definedName name="COMPOSICAOI7">#REF!</definedName>
    <definedName name="COMPOSICAOI8">#REF!</definedName>
    <definedName name="COMPOSICAOI87">[1]INFRA!#REF!</definedName>
    <definedName name="COMPOSICAOI88">[1]INFRA!#REF!</definedName>
    <definedName name="COMPOSICAOI89">[1]INFRA!#REF!</definedName>
    <definedName name="COMPOSICAOI9">[1]INFRA!$F$27</definedName>
    <definedName name="COMPOSICAOI90">[1]INFRA!#REF!</definedName>
    <definedName name="COMPOSICAOI91">[1]INFRA!#REF!</definedName>
    <definedName name="COMPOSICAOI92">[1]INFRA!#REF!</definedName>
    <definedName name="COMPOSICAOI93">[1]INFRA!#REF!</definedName>
    <definedName name="COMPOSICAOI94">[1]INFRA!#REF!</definedName>
    <definedName name="COMPOSICAOI95">[1]INFRA!$F$44</definedName>
    <definedName name="COMPOSICAOI96">[1]INFRA!#REF!</definedName>
    <definedName name="COMPOSICAOI97">[1]INFRA!#REF!</definedName>
    <definedName name="COMPOSICAOI98">[1]INFRA!#REF!</definedName>
    <definedName name="COMPOSICAOI99">[1]INFRA!$F$62</definedName>
    <definedName name="COMPOSICAOL64">'[1]LÓGICA 2'!$F$24</definedName>
    <definedName name="COMPOSICAOL65">'[1]LÓGICA 2'!$F$42</definedName>
    <definedName name="COMPOSICAOL67">'[1]LÓGICA 2'!$F$78</definedName>
    <definedName name="COMPOSICAOL68">'[1]LÓGICA 2'!$F$96</definedName>
    <definedName name="COMPOSICAOL69">'[1]LÓGICA 2'!$F$116</definedName>
    <definedName name="COMPOSICAOL70">'[1]LÓGICA 2'!$F$134</definedName>
    <definedName name="COMPOSICAOL71">'[1]LÓGICA 2'!#REF!</definedName>
    <definedName name="COMPOSICAOL72">'[1]LÓGICA 2'!$F$155</definedName>
    <definedName name="COMPOSICAOL73">'[1]LÓGICA 2'!$F$177</definedName>
    <definedName name="COMPOSICAOL74">'[1]LÓGICA 2'!#REF!</definedName>
    <definedName name="COMPOSICAOL75">'[1]LÓGICA 2'!#REF!</definedName>
    <definedName name="COMPOSICAOL76">'[1]LÓGICA 2'!$F$195</definedName>
    <definedName name="COMPOSICAOL77">'[1]LÓGICA 2'!$F$213</definedName>
    <definedName name="COMPOSICAOL78">'[1]LÓGICA 2'!$F$231</definedName>
    <definedName name="COMPOSICAOL79">'[1]LÓGICA 2'!$F$249</definedName>
    <definedName name="COMPOSICAOL80">'[1]LÓGICA 2'!$F$267</definedName>
    <definedName name="COMPOSICAOL81">'[1]LÓGICA 2'!$F$285</definedName>
    <definedName name="COMPOSICAOL82">'[1]LÓGICA 2'!$F$303</definedName>
    <definedName name="COMPOSICAOL83">'[1]LÓGICA 2'!#REF!</definedName>
    <definedName name="COMPOSICAOL84">'[1]LÓGICA 2'!$F$321</definedName>
    <definedName name="COMPOSICAOL85">'[1]LÓGICA 2'!$F$339</definedName>
    <definedName name="COMPOSICAOL86">'[1]LÓGICA 2'!$F$357</definedName>
    <definedName name="COMPOSICAOL87">'[1]LÓGICA 2'!$F$374</definedName>
    <definedName name="eqrrewr">[1]INFRA!#REF!</definedName>
    <definedName name="Serviços">[2]Solum!$A$3:$AD$2430</definedName>
    <definedName name="_xlnm.Print_Titles" localSheetId="0">CPU!$1:$2</definedName>
    <definedName name="_xlnm.Print_Titles" localSheetId="22">'MAPA COTAÇÃO'!$1:$2</definedName>
  </definedNames>
  <calcPr calcId="152511"/>
</workbook>
</file>

<file path=xl/calcChain.xml><?xml version="1.0" encoding="utf-8"?>
<calcChain xmlns="http://schemas.openxmlformats.org/spreadsheetml/2006/main">
  <c r="J336" i="78" l="1"/>
  <c r="J333" i="78"/>
  <c r="J330" i="78"/>
  <c r="J327" i="78"/>
  <c r="J324" i="78"/>
  <c r="J321" i="78"/>
  <c r="J318" i="78"/>
  <c r="J314" i="78"/>
  <c r="J310" i="78"/>
  <c r="J306" i="78"/>
  <c r="J302" i="78"/>
  <c r="J298" i="78"/>
  <c r="J294" i="78"/>
  <c r="J290" i="78"/>
  <c r="J286" i="78"/>
  <c r="J282" i="78"/>
  <c r="J278" i="78"/>
  <c r="J274" i="78"/>
  <c r="J270" i="78"/>
  <c r="J266" i="78"/>
  <c r="J262" i="78"/>
  <c r="J258" i="78"/>
  <c r="J254" i="78"/>
  <c r="J250" i="78"/>
  <c r="J246" i="78"/>
  <c r="J242" i="78"/>
  <c r="J238" i="78"/>
  <c r="J234" i="78"/>
  <c r="J230" i="78"/>
  <c r="J226" i="78"/>
  <c r="J223" i="78"/>
  <c r="J220" i="78"/>
  <c r="J217" i="78"/>
  <c r="J214" i="78"/>
  <c r="J211" i="78"/>
  <c r="J208" i="78"/>
  <c r="J205" i="78"/>
  <c r="J202" i="78"/>
  <c r="J199" i="78"/>
  <c r="J196" i="78"/>
  <c r="J193" i="78"/>
  <c r="J190" i="78"/>
  <c r="J187" i="78"/>
  <c r="J184" i="78"/>
  <c r="J181" i="78"/>
  <c r="J178" i="78"/>
  <c r="J175" i="78"/>
  <c r="J172" i="78"/>
  <c r="J169" i="78"/>
  <c r="J166" i="78"/>
  <c r="J163" i="78"/>
  <c r="J160" i="78"/>
  <c r="J157" i="78"/>
  <c r="J154" i="78"/>
  <c r="J151" i="78"/>
  <c r="J148" i="78"/>
  <c r="J145" i="78"/>
  <c r="J142" i="78"/>
  <c r="J139" i="78"/>
  <c r="J136" i="78"/>
  <c r="J132" i="78"/>
  <c r="J128" i="78"/>
  <c r="J124" i="78"/>
  <c r="J120" i="78"/>
  <c r="J116" i="78"/>
  <c r="J112" i="78"/>
  <c r="J108" i="78"/>
  <c r="J104" i="78"/>
  <c r="J100" i="78"/>
  <c r="J96" i="78"/>
  <c r="J92" i="78"/>
  <c r="J88" i="78"/>
  <c r="J83" i="78"/>
  <c r="J79" i="78"/>
  <c r="J75" i="78"/>
  <c r="J71" i="78"/>
  <c r="J67" i="78"/>
  <c r="J63" i="78"/>
  <c r="J59" i="78"/>
  <c r="J55" i="78"/>
  <c r="J51" i="78"/>
  <c r="J47" i="78"/>
  <c r="J43" i="78"/>
  <c r="J39" i="78"/>
  <c r="J35" i="78"/>
  <c r="J31" i="78"/>
  <c r="J27" i="78"/>
  <c r="J23" i="78"/>
  <c r="J19" i="78"/>
  <c r="J15" i="78"/>
  <c r="J11" i="78"/>
  <c r="J7" i="78"/>
  <c r="J3" i="78"/>
  <c r="U2" i="8" l="1"/>
  <c r="H429" i="7" l="1"/>
  <c r="H430" i="7"/>
  <c r="H431" i="7"/>
  <c r="H432" i="7"/>
  <c r="H433" i="7"/>
  <c r="H434" i="7"/>
  <c r="H435" i="7"/>
  <c r="H436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387" i="7"/>
  <c r="H388" i="7"/>
  <c r="H389" i="7"/>
  <c r="H390" i="7"/>
  <c r="H391" i="7"/>
  <c r="H392" i="7"/>
  <c r="H393" i="7"/>
  <c r="H394" i="7"/>
  <c r="H395" i="7"/>
  <c r="H396" i="7"/>
  <c r="H349" i="7"/>
  <c r="H350" i="7"/>
  <c r="H351" i="7"/>
  <c r="H352" i="7"/>
  <c r="H340" i="7"/>
  <c r="H341" i="7"/>
  <c r="H342" i="7"/>
  <c r="H343" i="7"/>
  <c r="H344" i="7"/>
  <c r="H345" i="7"/>
  <c r="H335" i="7"/>
  <c r="H336" i="7"/>
  <c r="H326" i="7"/>
  <c r="H327" i="7"/>
  <c r="H328" i="7"/>
  <c r="H329" i="7"/>
  <c r="H330" i="7"/>
  <c r="H331" i="7"/>
  <c r="H307" i="7"/>
  <c r="H308" i="7"/>
  <c r="H309" i="7"/>
  <c r="H310" i="7"/>
  <c r="H311" i="7"/>
  <c r="H312" i="7"/>
  <c r="H313" i="7"/>
  <c r="H314" i="7"/>
  <c r="H296" i="7"/>
  <c r="H297" i="7"/>
  <c r="H298" i="7"/>
  <c r="H299" i="7"/>
  <c r="H300" i="7"/>
  <c r="H301" i="7"/>
  <c r="H302" i="7"/>
  <c r="H303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72" i="7"/>
  <c r="H259" i="7"/>
  <c r="H260" i="7"/>
  <c r="H261" i="7"/>
  <c r="H262" i="7"/>
  <c r="H263" i="7"/>
  <c r="H250" i="7"/>
  <c r="H251" i="7"/>
  <c r="H252" i="7"/>
  <c r="H253" i="7"/>
  <c r="H254" i="7"/>
  <c r="H255" i="7"/>
  <c r="H244" i="7"/>
  <c r="H245" i="7"/>
  <c r="H246" i="7"/>
  <c r="H239" i="7"/>
  <c r="H240" i="7"/>
  <c r="H230" i="7"/>
  <c r="H231" i="7"/>
  <c r="H232" i="7"/>
  <c r="H233" i="7"/>
  <c r="H234" i="7"/>
  <c r="H235" i="7"/>
  <c r="H224" i="7"/>
  <c r="H225" i="7"/>
  <c r="H226" i="7"/>
  <c r="H216" i="7"/>
  <c r="H217" i="7"/>
  <c r="H218" i="7"/>
  <c r="H219" i="7"/>
  <c r="H220" i="7"/>
  <c r="H209" i="7"/>
  <c r="H210" i="7"/>
  <c r="H211" i="7"/>
  <c r="H212" i="7"/>
  <c r="H197" i="7"/>
  <c r="H198" i="7"/>
  <c r="H199" i="7"/>
  <c r="H200" i="7"/>
  <c r="H201" i="7"/>
  <c r="H202" i="7"/>
  <c r="H203" i="7"/>
  <c r="H204" i="7"/>
  <c r="H205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68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36" i="7"/>
  <c r="H111" i="7"/>
  <c r="H112" i="7"/>
  <c r="H113" i="7"/>
  <c r="H114" i="7"/>
  <c r="H115" i="7"/>
  <c r="H116" i="7"/>
  <c r="H117" i="7"/>
  <c r="H103" i="7"/>
  <c r="H104" i="7"/>
  <c r="H105" i="7"/>
  <c r="H106" i="7"/>
  <c r="H107" i="7"/>
  <c r="H92" i="7"/>
  <c r="H93" i="7"/>
  <c r="H94" i="7"/>
  <c r="H95" i="7"/>
  <c r="H96" i="7"/>
  <c r="H97" i="7"/>
  <c r="H98" i="7"/>
  <c r="H99" i="7"/>
  <c r="H82" i="7"/>
  <c r="H83" i="7"/>
  <c r="H84" i="7"/>
  <c r="H85" i="7"/>
  <c r="H86" i="7"/>
  <c r="H87" i="7"/>
  <c r="H88" i="7"/>
  <c r="H62" i="7"/>
  <c r="H63" i="7"/>
  <c r="H64" i="7"/>
  <c r="H65" i="7"/>
  <c r="H66" i="7"/>
  <c r="H67" i="7"/>
  <c r="H68" i="7"/>
  <c r="H69" i="7"/>
  <c r="H70" i="7"/>
  <c r="H71" i="7"/>
  <c r="E840" i="7" l="1"/>
  <c r="E839" i="7"/>
  <c r="E841" i="7"/>
  <c r="G841" i="7"/>
  <c r="H841" i="7" l="1"/>
  <c r="E809" i="7" l="1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08" i="7"/>
  <c r="E805" i="7"/>
  <c r="E806" i="7"/>
  <c r="E807" i="7"/>
  <c r="E804" i="7"/>
  <c r="E803" i="7"/>
  <c r="E802" i="7"/>
  <c r="E798" i="7"/>
  <c r="E799" i="7"/>
  <c r="E800" i="7"/>
  <c r="E801" i="7"/>
  <c r="E797" i="7"/>
  <c r="C824" i="7"/>
  <c r="C823" i="7"/>
  <c r="C822" i="7"/>
  <c r="C808" i="7"/>
  <c r="G836" i="7"/>
  <c r="G835" i="7"/>
  <c r="G834" i="7"/>
  <c r="H834" i="7" s="1"/>
  <c r="G833" i="7"/>
  <c r="H833" i="7" s="1"/>
  <c r="G832" i="7"/>
  <c r="G831" i="7"/>
  <c r="G830" i="7"/>
  <c r="G829" i="7"/>
  <c r="G828" i="7"/>
  <c r="E791" i="7"/>
  <c r="E792" i="7"/>
  <c r="E793" i="7"/>
  <c r="E794" i="7"/>
  <c r="G791" i="7"/>
  <c r="G793" i="7"/>
  <c r="G794" i="7"/>
  <c r="E790" i="7"/>
  <c r="G790" i="7"/>
  <c r="G792" i="7"/>
  <c r="G789" i="7"/>
  <c r="E789" i="7"/>
  <c r="E786" i="7"/>
  <c r="E787" i="7"/>
  <c r="E788" i="7"/>
  <c r="G786" i="7"/>
  <c r="G787" i="7"/>
  <c r="G785" i="7"/>
  <c r="E785" i="7"/>
  <c r="E18" i="64"/>
  <c r="E782" i="7" s="1"/>
  <c r="E19" i="64"/>
  <c r="E783" i="7" s="1"/>
  <c r="G784" i="7"/>
  <c r="E784" i="7"/>
  <c r="G783" i="7"/>
  <c r="G788" i="7"/>
  <c r="G782" i="7"/>
  <c r="E781" i="7"/>
  <c r="E780" i="7"/>
  <c r="E779" i="7"/>
  <c r="E778" i="7"/>
  <c r="E777" i="7"/>
  <c r="E776" i="7"/>
  <c r="E775" i="7"/>
  <c r="E772" i="7"/>
  <c r="E771" i="7"/>
  <c r="E768" i="7"/>
  <c r="E767" i="7"/>
  <c r="E766" i="7"/>
  <c r="E765" i="7"/>
  <c r="H788" i="7" l="1"/>
  <c r="H787" i="7"/>
  <c r="H828" i="7"/>
  <c r="H836" i="7"/>
  <c r="H835" i="7"/>
  <c r="H792" i="7"/>
  <c r="H829" i="7"/>
  <c r="H831" i="7"/>
  <c r="H830" i="7"/>
  <c r="H832" i="7"/>
  <c r="H794" i="7"/>
  <c r="H793" i="7"/>
  <c r="H791" i="7"/>
  <c r="H790" i="7"/>
  <c r="H789" i="7"/>
  <c r="H786" i="7"/>
  <c r="H785" i="7"/>
  <c r="H784" i="7"/>
  <c r="H783" i="7"/>
  <c r="H782" i="7"/>
  <c r="G729" i="7" l="1"/>
  <c r="E729" i="7"/>
  <c r="H729" i="7" l="1"/>
  <c r="E627" i="7"/>
  <c r="H627" i="7" s="1"/>
  <c r="E628" i="7"/>
  <c r="H628" i="7" s="1"/>
  <c r="E629" i="7"/>
  <c r="H629" i="7" s="1"/>
  <c r="E626" i="7"/>
  <c r="G629" i="7"/>
  <c r="G628" i="7"/>
  <c r="G627" i="7"/>
  <c r="G626" i="7"/>
  <c r="C148" i="70"/>
  <c r="H626" i="7" l="1"/>
  <c r="E515" i="7"/>
  <c r="E516" i="7"/>
  <c r="E517" i="7"/>
  <c r="E518" i="7"/>
  <c r="E519" i="7"/>
  <c r="G516" i="7"/>
  <c r="E477" i="7"/>
  <c r="C61" i="70"/>
  <c r="C58" i="70"/>
  <c r="C56" i="70"/>
  <c r="C55" i="70"/>
  <c r="C53" i="70"/>
  <c r="C49" i="70"/>
  <c r="C48" i="70"/>
  <c r="C47" i="70"/>
  <c r="C41" i="70"/>
  <c r="H516" i="7" l="1"/>
  <c r="C38" i="70"/>
  <c r="C35" i="70"/>
  <c r="C34" i="70"/>
  <c r="C32" i="70"/>
  <c r="F4" i="65" l="1"/>
  <c r="F5" i="65"/>
  <c r="F6" i="65"/>
  <c r="F7" i="65"/>
  <c r="F8" i="65"/>
  <c r="F9" i="65"/>
  <c r="F10" i="65"/>
  <c r="F11" i="65"/>
  <c r="F12" i="65"/>
  <c r="F13" i="65"/>
  <c r="G160" i="7"/>
  <c r="E160" i="7"/>
  <c r="G161" i="7"/>
  <c r="E161" i="7"/>
  <c r="F3" i="65"/>
  <c r="H160" i="7" l="1"/>
  <c r="H161" i="7"/>
  <c r="G157" i="7"/>
  <c r="E157" i="7"/>
  <c r="E434" i="7"/>
  <c r="E435" i="7"/>
  <c r="G435" i="7"/>
  <c r="G434" i="7"/>
  <c r="F73" i="71" l="1"/>
  <c r="E70" i="71"/>
  <c r="F70" i="71" s="1"/>
  <c r="F127" i="71"/>
  <c r="F126" i="71"/>
  <c r="E123" i="71"/>
  <c r="E122" i="71"/>
  <c r="E121" i="71"/>
  <c r="E120" i="71"/>
  <c r="E114" i="71"/>
  <c r="F114" i="71" s="1"/>
  <c r="E82" i="71"/>
  <c r="E81" i="71"/>
  <c r="E72" i="71"/>
  <c r="E71" i="71"/>
  <c r="E69" i="71"/>
  <c r="E64" i="71"/>
  <c r="E56" i="71"/>
  <c r="E57" i="71" s="1"/>
  <c r="E14" i="71"/>
  <c r="E9" i="71"/>
  <c r="E203" i="7" l="1"/>
  <c r="E345" i="7" l="1"/>
  <c r="G345" i="7"/>
  <c r="I72" i="63" l="1"/>
  <c r="I71" i="63"/>
  <c r="G641" i="7" l="1"/>
  <c r="E641" i="7"/>
  <c r="H641" i="7" s="1"/>
  <c r="G728" i="7" l="1"/>
  <c r="E728" i="7"/>
  <c r="G727" i="7"/>
  <c r="E727" i="7"/>
  <c r="G726" i="7"/>
  <c r="E726" i="7"/>
  <c r="G725" i="7"/>
  <c r="E725" i="7"/>
  <c r="G724" i="7"/>
  <c r="E724" i="7"/>
  <c r="G723" i="7"/>
  <c r="E723" i="7"/>
  <c r="G722" i="7"/>
  <c r="E722" i="7"/>
  <c r="G721" i="7"/>
  <c r="E721" i="7"/>
  <c r="E720" i="7"/>
  <c r="G720" i="7"/>
  <c r="G719" i="7"/>
  <c r="E719" i="7"/>
  <c r="H725" i="7" l="1"/>
  <c r="H724" i="7"/>
  <c r="H728" i="7"/>
  <c r="H723" i="7"/>
  <c r="H726" i="7"/>
  <c r="H722" i="7"/>
  <c r="H721" i="7"/>
  <c r="H727" i="7"/>
  <c r="H720" i="7"/>
  <c r="H719" i="7"/>
  <c r="E445" i="7"/>
  <c r="G445" i="7"/>
  <c r="H445" i="7" s="1"/>
  <c r="E501" i="7" l="1"/>
  <c r="E511" i="7"/>
  <c r="E588" i="7" l="1"/>
  <c r="H588" i="7" s="1"/>
  <c r="G501" i="7" l="1"/>
  <c r="H501" i="7" s="1"/>
  <c r="I12" i="55" l="1"/>
  <c r="E453" i="7"/>
  <c r="E314" i="7" l="1"/>
  <c r="G314" i="7"/>
  <c r="I69" i="63"/>
  <c r="E200" i="7"/>
  <c r="I64" i="61"/>
  <c r="G200" i="7"/>
  <c r="K78" i="62"/>
  <c r="E71" i="7"/>
  <c r="G71" i="7"/>
  <c r="T78" i="62"/>
  <c r="K77" i="62"/>
  <c r="I78" i="62"/>
  <c r="E183" i="7" l="1"/>
  <c r="G183" i="7"/>
  <c r="G46" i="7"/>
  <c r="E272" i="7"/>
  <c r="K82" i="62"/>
  <c r="E46" i="7" s="1"/>
  <c r="I70" i="61"/>
  <c r="E271" i="7"/>
  <c r="G417" i="7"/>
  <c r="G409" i="7"/>
  <c r="E425" i="7"/>
  <c r="E424" i="7"/>
  <c r="E423" i="7"/>
  <c r="E420" i="7"/>
  <c r="E419" i="7"/>
  <c r="E414" i="7"/>
  <c r="E413" i="7"/>
  <c r="E412" i="7"/>
  <c r="E411" i="7"/>
  <c r="E410" i="7"/>
  <c r="I24" i="55"/>
  <c r="E418" i="7" s="1"/>
  <c r="I23" i="55"/>
  <c r="E416" i="7" s="1"/>
  <c r="I21" i="55"/>
  <c r="I22" i="55" s="1"/>
  <c r="E415" i="7" s="1"/>
  <c r="I20" i="55"/>
  <c r="E421" i="7"/>
  <c r="E422" i="7" s="1"/>
  <c r="I32" i="55"/>
  <c r="E409" i="7" s="1"/>
  <c r="I30" i="55"/>
  <c r="E417" i="7" s="1"/>
  <c r="H46" i="7" l="1"/>
  <c r="H409" i="7"/>
  <c r="G205" i="7" l="1"/>
  <c r="I61" i="61"/>
  <c r="E205" i="7" s="1"/>
  <c r="I60" i="61"/>
  <c r="I59" i="61"/>
  <c r="I58" i="61"/>
  <c r="I56" i="61"/>
  <c r="I54" i="61"/>
  <c r="I55" i="61" s="1"/>
  <c r="I53" i="61"/>
  <c r="I63" i="61"/>
  <c r="I51" i="61"/>
  <c r="I50" i="61"/>
  <c r="I48" i="61"/>
  <c r="I49" i="61" s="1"/>
  <c r="I47" i="61"/>
  <c r="I43" i="61"/>
  <c r="I42" i="61"/>
  <c r="I41" i="61"/>
  <c r="E182" i="7" s="1"/>
  <c r="I39" i="61"/>
  <c r="I37" i="61"/>
  <c r="I38" i="61" s="1"/>
  <c r="I36" i="61"/>
  <c r="I32" i="61"/>
  <c r="E171" i="7"/>
  <c r="G171" i="7"/>
  <c r="I31" i="61"/>
  <c r="I5" i="61"/>
  <c r="I4" i="61"/>
  <c r="I6" i="61" l="1"/>
  <c r="E168" i="7" s="1"/>
  <c r="E167" i="7"/>
  <c r="H171" i="7"/>
  <c r="T74" i="62"/>
  <c r="T73" i="62"/>
  <c r="T72" i="62"/>
  <c r="T71" i="62"/>
  <c r="T70" i="62"/>
  <c r="T68" i="62"/>
  <c r="T69" i="62" s="1"/>
  <c r="T67" i="62"/>
  <c r="T63" i="62"/>
  <c r="T62" i="62"/>
  <c r="T61" i="62"/>
  <c r="T59" i="62"/>
  <c r="T60" i="62" s="1"/>
  <c r="T58" i="62"/>
  <c r="T50" i="62"/>
  <c r="K38" i="62"/>
  <c r="E45" i="7" s="1"/>
  <c r="G45" i="7"/>
  <c r="H45" i="7" s="1"/>
  <c r="T33" i="62"/>
  <c r="T34" i="62" s="1"/>
  <c r="T32" i="62"/>
  <c r="T30" i="62"/>
  <c r="T28" i="62"/>
  <c r="T29" i="62" s="1"/>
  <c r="T27" i="62"/>
  <c r="T26" i="62"/>
  <c r="T13" i="62"/>
  <c r="T5" i="62"/>
  <c r="T6" i="62" s="1"/>
  <c r="I80" i="62"/>
  <c r="I75" i="62"/>
  <c r="I74" i="62"/>
  <c r="I73" i="62"/>
  <c r="I72" i="62"/>
  <c r="I71" i="62"/>
  <c r="I70" i="62"/>
  <c r="I68" i="62"/>
  <c r="I69" i="62" s="1"/>
  <c r="I67" i="62"/>
  <c r="I59" i="62"/>
  <c r="I60" i="62" s="1"/>
  <c r="I58" i="62"/>
  <c r="I34" i="62"/>
  <c r="K35" i="62"/>
  <c r="K36" i="62"/>
  <c r="I15" i="62"/>
  <c r="I13" i="62"/>
  <c r="K11" i="62"/>
  <c r="K12" i="62"/>
  <c r="G33" i="7"/>
  <c r="I10" i="62"/>
  <c r="K10" i="62" s="1"/>
  <c r="E33" i="7" s="1"/>
  <c r="T4" i="62" l="1"/>
  <c r="K13" i="62"/>
  <c r="K15" i="62"/>
  <c r="K14" i="62"/>
  <c r="H33" i="7"/>
  <c r="I74" i="63" l="1"/>
  <c r="I68" i="63"/>
  <c r="I66" i="63"/>
  <c r="I65" i="63"/>
  <c r="I64" i="63"/>
  <c r="I63" i="63"/>
  <c r="I61" i="63"/>
  <c r="I62" i="63" s="1"/>
  <c r="I60" i="63"/>
  <c r="I58" i="63"/>
  <c r="I56" i="63"/>
  <c r="I55" i="63"/>
  <c r="I54" i="63"/>
  <c r="I53" i="63"/>
  <c r="I52" i="63"/>
  <c r="I50" i="63"/>
  <c r="I51" i="63" s="1"/>
  <c r="I49" i="63"/>
  <c r="I32" i="63"/>
  <c r="I31" i="63"/>
  <c r="I25" i="63"/>
  <c r="L25" i="63"/>
  <c r="I15" i="63"/>
  <c r="I13" i="63"/>
  <c r="I12" i="63"/>
  <c r="I9" i="63"/>
  <c r="E7" i="71" l="1"/>
  <c r="E16" i="71"/>
  <c r="E21" i="7" s="1"/>
  <c r="E117" i="71"/>
  <c r="E109" i="71"/>
  <c r="E43" i="71"/>
  <c r="F16" i="71" l="1"/>
  <c r="E306" i="7" l="1"/>
  <c r="E22" i="7"/>
  <c r="E451" i="7" l="1"/>
  <c r="E7" i="68" l="1"/>
  <c r="E718" i="7" l="1"/>
  <c r="G718" i="7"/>
  <c r="E47" i="69"/>
  <c r="E28" i="69"/>
  <c r="E7" i="69"/>
  <c r="E31" i="68"/>
  <c r="H718" i="7" l="1"/>
  <c r="E295" i="7"/>
  <c r="A101" i="9" l="1"/>
  <c r="C22" i="77" l="1"/>
  <c r="C25" i="77" s="1"/>
  <c r="C20" i="77"/>
  <c r="C12" i="77"/>
  <c r="C8" i="77"/>
  <c r="G151" i="7" l="1"/>
  <c r="G436" i="7"/>
  <c r="G396" i="7"/>
  <c r="G395" i="7"/>
  <c r="G394" i="7"/>
  <c r="G393" i="7"/>
  <c r="C20" i="76" l="1"/>
  <c r="C22" i="76" s="1"/>
  <c r="C25" i="76" s="1"/>
  <c r="C12" i="76"/>
  <c r="C8" i="76"/>
  <c r="G406" i="7" l="1"/>
  <c r="F55" i="68" l="1"/>
  <c r="E11" i="68"/>
  <c r="G518" i="7"/>
  <c r="H518" i="7" s="1"/>
  <c r="G519" i="7"/>
  <c r="H519" i="7" s="1"/>
  <c r="G22" i="7"/>
  <c r="H22" i="7" s="1"/>
  <c r="E89" i="71"/>
  <c r="E66" i="68" l="1"/>
  <c r="E61" i="68"/>
  <c r="E263" i="7" l="1"/>
  <c r="F59" i="69"/>
  <c r="E59" i="69"/>
  <c r="E31" i="69"/>
  <c r="E29" i="69"/>
  <c r="E713" i="7" l="1"/>
  <c r="G713" i="7"/>
  <c r="E709" i="7"/>
  <c r="G709" i="7"/>
  <c r="E712" i="7"/>
  <c r="G712" i="7"/>
  <c r="E673" i="7"/>
  <c r="E711" i="7"/>
  <c r="G711" i="7"/>
  <c r="E710" i="7"/>
  <c r="H713" i="7" l="1"/>
  <c r="H712" i="7"/>
  <c r="H711" i="7"/>
  <c r="H709" i="7"/>
  <c r="G710" i="7"/>
  <c r="H710" i="7" s="1"/>
  <c r="E708" i="7"/>
  <c r="G140" i="7" l="1"/>
  <c r="G131" i="7" l="1"/>
  <c r="F123" i="71"/>
  <c r="F122" i="71"/>
  <c r="E142" i="7" s="1"/>
  <c r="F121" i="71"/>
  <c r="F120" i="71"/>
  <c r="F119" i="71"/>
  <c r="E140" i="7" s="1"/>
  <c r="H140" i="7" s="1"/>
  <c r="F118" i="71"/>
  <c r="F117" i="71"/>
  <c r="F43" i="71"/>
  <c r="E131" i="7" s="1"/>
  <c r="E139" i="7" l="1"/>
  <c r="E141" i="7"/>
  <c r="H131" i="7"/>
  <c r="G94" i="7" l="1"/>
  <c r="E50" i="68" l="1"/>
  <c r="E35" i="68"/>
  <c r="B57" i="9" l="1"/>
  <c r="B51" i="8" s="1"/>
  <c r="B54" i="9"/>
  <c r="B48" i="8" s="1"/>
  <c r="B60" i="9"/>
  <c r="B54" i="8" s="1"/>
  <c r="B62" i="9"/>
  <c r="B61" i="9"/>
  <c r="B59" i="9"/>
  <c r="B58" i="9"/>
  <c r="B56" i="9"/>
  <c r="E53" i="69"/>
  <c r="E50" i="69"/>
  <c r="E41" i="69"/>
  <c r="E40" i="69"/>
  <c r="E33" i="69"/>
  <c r="E10" i="69"/>
  <c r="E56" i="68" l="1"/>
  <c r="E49" i="68"/>
  <c r="E48" i="68"/>
  <c r="E34" i="68"/>
  <c r="E33" i="68"/>
  <c r="E10" i="68"/>
  <c r="G621" i="7" l="1"/>
  <c r="E621" i="7"/>
  <c r="H621" i="7" s="1"/>
  <c r="A183" i="70" l="1"/>
  <c r="E365" i="7" l="1"/>
  <c r="E364" i="7"/>
  <c r="E363" i="7"/>
  <c r="E362" i="7"/>
  <c r="E361" i="7"/>
  <c r="E360" i="7"/>
  <c r="G364" i="7"/>
  <c r="G363" i="7"/>
  <c r="G360" i="7"/>
  <c r="G361" i="7"/>
  <c r="H363" i="7" l="1"/>
  <c r="H364" i="7"/>
  <c r="H361" i="7"/>
  <c r="H360" i="7"/>
  <c r="E634" i="7" l="1"/>
  <c r="H634" i="7" s="1"/>
  <c r="E642" i="7" l="1"/>
  <c r="H642" i="7" s="1"/>
  <c r="G642" i="7"/>
  <c r="E640" i="7"/>
  <c r="H640" i="7" s="1"/>
  <c r="G640" i="7"/>
  <c r="E637" i="7"/>
  <c r="H637" i="7" s="1"/>
  <c r="E639" i="7"/>
  <c r="H639" i="7" s="1"/>
  <c r="E638" i="7"/>
  <c r="H638" i="7" s="1"/>
  <c r="G639" i="7"/>
  <c r="G638" i="7"/>
  <c r="E636" i="7"/>
  <c r="H636" i="7" s="1"/>
  <c r="E635" i="7"/>
  <c r="H635" i="7" s="1"/>
  <c r="G636" i="7"/>
  <c r="G634" i="7"/>
  <c r="E623" i="7" l="1"/>
  <c r="H623" i="7" s="1"/>
  <c r="E633" i="7" l="1"/>
  <c r="H633" i="7" s="1"/>
  <c r="E632" i="7"/>
  <c r="H632" i="7" s="1"/>
  <c r="E631" i="7"/>
  <c r="H631" i="7" s="1"/>
  <c r="E630" i="7"/>
  <c r="H630" i="7" s="1"/>
  <c r="H643" i="7" l="1"/>
  <c r="G146" i="7"/>
  <c r="G155" i="7"/>
  <c r="G154" i="7"/>
  <c r="G132" i="7"/>
  <c r="G129" i="7"/>
  <c r="G126" i="7"/>
  <c r="G127" i="7"/>
  <c r="G432" i="7"/>
  <c r="E116" i="7"/>
  <c r="E115" i="7"/>
  <c r="E113" i="7"/>
  <c r="E112" i="7"/>
  <c r="G113" i="7"/>
  <c r="G112" i="7"/>
  <c r="E107" i="7"/>
  <c r="E106" i="7"/>
  <c r="E105" i="7"/>
  <c r="E104" i="7"/>
  <c r="E103" i="7"/>
  <c r="G97" i="7"/>
  <c r="E29" i="71"/>
  <c r="F29" i="71" s="1"/>
  <c r="E91" i="7" s="1"/>
  <c r="G84" i="7"/>
  <c r="G88" i="7"/>
  <c r="G87" i="7"/>
  <c r="G86" i="7"/>
  <c r="G21" i="7"/>
  <c r="H21" i="7" s="1"/>
  <c r="F128" i="71"/>
  <c r="E162" i="7" s="1"/>
  <c r="F113" i="71"/>
  <c r="E156" i="7" s="1"/>
  <c r="F111" i="71"/>
  <c r="F110" i="71"/>
  <c r="F109" i="71"/>
  <c r="E428" i="7" s="1"/>
  <c r="F108" i="71"/>
  <c r="E436" i="7" s="1"/>
  <c r="F107" i="71"/>
  <c r="F106" i="71"/>
  <c r="E153" i="7" s="1"/>
  <c r="F105" i="71"/>
  <c r="E152" i="7" s="1"/>
  <c r="F104" i="71"/>
  <c r="E151" i="7" s="1"/>
  <c r="F103" i="71"/>
  <c r="E150" i="7" s="1"/>
  <c r="F102" i="71"/>
  <c r="E149" i="7" s="1"/>
  <c r="E101" i="71"/>
  <c r="F101" i="71" s="1"/>
  <c r="E148" i="7" s="1"/>
  <c r="F100" i="71"/>
  <c r="E147" i="7" s="1"/>
  <c r="F99" i="71"/>
  <c r="E146" i="7" s="1"/>
  <c r="F98" i="71"/>
  <c r="E145" i="7" s="1"/>
  <c r="F95" i="71"/>
  <c r="E406" i="7" s="1"/>
  <c r="H406" i="7" s="1"/>
  <c r="F94" i="71"/>
  <c r="E405" i="7" s="1"/>
  <c r="F93" i="71"/>
  <c r="E404" i="7" s="1"/>
  <c r="F89" i="71"/>
  <c r="E136" i="7" s="1"/>
  <c r="F88" i="71"/>
  <c r="E135" i="7" s="1"/>
  <c r="F112" i="71"/>
  <c r="E155" i="7" s="1"/>
  <c r="F84" i="71"/>
  <c r="E154" i="7" s="1"/>
  <c r="F83" i="71"/>
  <c r="E132" i="7" s="1"/>
  <c r="F82" i="71"/>
  <c r="E130" i="7" s="1"/>
  <c r="F81" i="71"/>
  <c r="E80" i="71"/>
  <c r="E127" i="7" s="1"/>
  <c r="E79" i="71"/>
  <c r="E126" i="7" s="1"/>
  <c r="F78" i="71"/>
  <c r="E125" i="7" s="1"/>
  <c r="F77" i="71"/>
  <c r="E124" i="7" s="1"/>
  <c r="F74" i="71"/>
  <c r="E433" i="7" s="1"/>
  <c r="F72" i="71"/>
  <c r="E432" i="7" s="1"/>
  <c r="F71" i="71"/>
  <c r="E431" i="7" s="1"/>
  <c r="F69" i="71"/>
  <c r="E430" i="7" s="1"/>
  <c r="F68" i="71"/>
  <c r="E121" i="7" s="1"/>
  <c r="F67" i="71"/>
  <c r="E120" i="7" s="1"/>
  <c r="F64" i="71"/>
  <c r="E117" i="7" s="1"/>
  <c r="F60" i="71"/>
  <c r="E114" i="7" s="1"/>
  <c r="F56" i="71"/>
  <c r="E110" i="7" s="1"/>
  <c r="F53" i="71"/>
  <c r="E102" i="7" s="1"/>
  <c r="F42" i="71"/>
  <c r="F41" i="71"/>
  <c r="F40" i="71"/>
  <c r="G40" i="71" s="1"/>
  <c r="F39" i="71"/>
  <c r="G39" i="71" s="1"/>
  <c r="F38" i="71"/>
  <c r="G38" i="71" s="1"/>
  <c r="F37" i="71"/>
  <c r="G37" i="71" s="1"/>
  <c r="F36" i="71"/>
  <c r="G36" i="71" s="1"/>
  <c r="F35" i="71"/>
  <c r="E97" i="7" s="1"/>
  <c r="F34" i="71"/>
  <c r="E96" i="7" s="1"/>
  <c r="F33" i="71"/>
  <c r="E95" i="7" s="1"/>
  <c r="F32" i="71"/>
  <c r="E94" i="7" s="1"/>
  <c r="F31" i="71"/>
  <c r="E93" i="7" s="1"/>
  <c r="F30" i="71"/>
  <c r="F26" i="71"/>
  <c r="E88" i="7" s="1"/>
  <c r="F25" i="71"/>
  <c r="E87" i="7" s="1"/>
  <c r="F24" i="71"/>
  <c r="E86" i="7" s="1"/>
  <c r="E23" i="71"/>
  <c r="F23" i="71" s="1"/>
  <c r="E85" i="7" s="1"/>
  <c r="F22" i="71"/>
  <c r="E84" i="7" s="1"/>
  <c r="F18" i="71"/>
  <c r="E23" i="7" s="1"/>
  <c r="F17" i="71"/>
  <c r="E24" i="7" s="1"/>
  <c r="F15" i="71"/>
  <c r="F14" i="71"/>
  <c r="E19" i="7" s="1"/>
  <c r="F13" i="71"/>
  <c r="E18" i="7" s="1"/>
  <c r="F12" i="71"/>
  <c r="E17" i="7" s="1"/>
  <c r="F11" i="71"/>
  <c r="E16" i="7" s="1"/>
  <c r="F10" i="71"/>
  <c r="E15" i="7" s="1"/>
  <c r="F9" i="71"/>
  <c r="E14" i="7" s="1"/>
  <c r="F8" i="71"/>
  <c r="E13" i="7" s="1"/>
  <c r="F7" i="71"/>
  <c r="E12" i="7" s="1"/>
  <c r="F5" i="71"/>
  <c r="E20" i="7" l="1"/>
  <c r="E128" i="7"/>
  <c r="E129" i="7"/>
  <c r="H129" i="7" s="1"/>
  <c r="E92" i="7"/>
  <c r="E429" i="7"/>
  <c r="E98" i="7"/>
  <c r="E99" i="7"/>
  <c r="H132" i="7"/>
  <c r="H127" i="7"/>
  <c r="H126" i="7"/>
  <c r="F57" i="71"/>
  <c r="E111" i="7" s="1"/>
  <c r="G425" i="7" l="1"/>
  <c r="E622" i="7"/>
  <c r="H622" i="7" s="1"/>
  <c r="E620" i="7"/>
  <c r="E617" i="7"/>
  <c r="H617" i="7" s="1"/>
  <c r="E616" i="7"/>
  <c r="H616" i="7" s="1"/>
  <c r="E615" i="7"/>
  <c r="H615" i="7" s="1"/>
  <c r="E614" i="7"/>
  <c r="H614" i="7" s="1"/>
  <c r="E613" i="7"/>
  <c r="H613" i="7" s="1"/>
  <c r="E612" i="7"/>
  <c r="E609" i="7"/>
  <c r="H609" i="7" s="1"/>
  <c r="E608" i="7"/>
  <c r="H608" i="7" s="1"/>
  <c r="E607" i="7"/>
  <c r="H607" i="7" s="1"/>
  <c r="E606" i="7"/>
  <c r="H606" i="7" s="1"/>
  <c r="E605" i="7"/>
  <c r="H605" i="7" s="1"/>
  <c r="E604" i="7"/>
  <c r="H604" i="7" s="1"/>
  <c r="E603" i="7"/>
  <c r="H603" i="7" s="1"/>
  <c r="E602" i="7"/>
  <c r="H602" i="7" s="1"/>
  <c r="E601" i="7"/>
  <c r="H601" i="7" s="1"/>
  <c r="E600" i="7"/>
  <c r="H600" i="7" s="1"/>
  <c r="E599" i="7"/>
  <c r="H599" i="7" s="1"/>
  <c r="E598" i="7"/>
  <c r="H598" i="7" s="1"/>
  <c r="E597" i="7"/>
  <c r="H597" i="7" s="1"/>
  <c r="E596" i="7"/>
  <c r="H596" i="7" s="1"/>
  <c r="E595" i="7"/>
  <c r="H595" i="7" s="1"/>
  <c r="E594" i="7"/>
  <c r="H594" i="7" s="1"/>
  <c r="E593" i="7"/>
  <c r="H593" i="7" s="1"/>
  <c r="E592" i="7"/>
  <c r="H592" i="7" s="1"/>
  <c r="E591" i="7"/>
  <c r="H591" i="7" s="1"/>
  <c r="E590" i="7"/>
  <c r="H590" i="7" s="1"/>
  <c r="E589" i="7"/>
  <c r="H589" i="7" s="1"/>
  <c r="E587" i="7"/>
  <c r="H587" i="7" s="1"/>
  <c r="E586" i="7"/>
  <c r="H586" i="7" s="1"/>
  <c r="E585" i="7"/>
  <c r="H585" i="7" s="1"/>
  <c r="G585" i="7"/>
  <c r="E584" i="7"/>
  <c r="H584" i="7" s="1"/>
  <c r="E583" i="7"/>
  <c r="H583" i="7" s="1"/>
  <c r="E582" i="7"/>
  <c r="G254" i="7" l="1"/>
  <c r="G255" i="7"/>
  <c r="G252" i="7"/>
  <c r="G250" i="7"/>
  <c r="F50" i="69"/>
  <c r="E255" i="7" s="1"/>
  <c r="F49" i="69"/>
  <c r="E254" i="7" s="1"/>
  <c r="E49" i="69"/>
  <c r="F48" i="69"/>
  <c r="E253" i="7" s="1"/>
  <c r="E48" i="69"/>
  <c r="F47" i="69"/>
  <c r="E252" i="7" s="1"/>
  <c r="F46" i="69"/>
  <c r="E251" i="7" s="1"/>
  <c r="F45" i="69"/>
  <c r="E250" i="7" s="1"/>
  <c r="E45" i="69"/>
  <c r="F44" i="69"/>
  <c r="E249" i="7" s="1"/>
  <c r="E44" i="69"/>
  <c r="E37" i="69"/>
  <c r="F37" i="69" s="1"/>
  <c r="E38" i="69"/>
  <c r="F38" i="69" s="1"/>
  <c r="E39" i="69"/>
  <c r="F39" i="69" s="1"/>
  <c r="F40" i="69"/>
  <c r="F41" i="69"/>
  <c r="E579" i="7"/>
  <c r="E573" i="7"/>
  <c r="E578" i="7"/>
  <c r="E577" i="7"/>
  <c r="E576" i="7"/>
  <c r="E575" i="7"/>
  <c r="E574" i="7"/>
  <c r="G573" i="7"/>
  <c r="E572" i="7"/>
  <c r="E571" i="7"/>
  <c r="E570" i="7"/>
  <c r="E567" i="7"/>
  <c r="E566" i="7"/>
  <c r="E565" i="7"/>
  <c r="E564" i="7"/>
  <c r="E563" i="7"/>
  <c r="E562" i="7"/>
  <c r="E559" i="7"/>
  <c r="E558" i="7"/>
  <c r="G558" i="7"/>
  <c r="E557" i="7"/>
  <c r="E556" i="7"/>
  <c r="E555" i="7"/>
  <c r="G556" i="7"/>
  <c r="G555" i="7"/>
  <c r="E554" i="7"/>
  <c r="E551" i="7"/>
  <c r="E550" i="7"/>
  <c r="E547" i="7"/>
  <c r="E546" i="7"/>
  <c r="E545" i="7"/>
  <c r="E544" i="7"/>
  <c r="E543" i="7"/>
  <c r="E542" i="7"/>
  <c r="E539" i="7"/>
  <c r="E538" i="7"/>
  <c r="E537" i="7"/>
  <c r="E536" i="7"/>
  <c r="E535" i="7"/>
  <c r="E534" i="7"/>
  <c r="E533" i="7"/>
  <c r="E532" i="7"/>
  <c r="E529" i="7"/>
  <c r="E528" i="7"/>
  <c r="E527" i="7"/>
  <c r="E526" i="7"/>
  <c r="E525" i="7"/>
  <c r="E524" i="7"/>
  <c r="E523" i="7"/>
  <c r="E522" i="7"/>
  <c r="E514" i="7"/>
  <c r="E503" i="7"/>
  <c r="E508" i="7"/>
  <c r="G508" i="7"/>
  <c r="E510" i="7"/>
  <c r="E509" i="7"/>
  <c r="E507" i="7"/>
  <c r="E506" i="7"/>
  <c r="E505" i="7"/>
  <c r="E504" i="7"/>
  <c r="E502" i="7"/>
  <c r="E500" i="7"/>
  <c r="E499" i="7"/>
  <c r="G499" i="7"/>
  <c r="E498" i="7"/>
  <c r="E497" i="7"/>
  <c r="E496" i="7"/>
  <c r="E495" i="7"/>
  <c r="E494" i="7"/>
  <c r="E493" i="7"/>
  <c r="E492" i="7"/>
  <c r="E491" i="7"/>
  <c r="E489" i="7"/>
  <c r="G489" i="7"/>
  <c r="E490" i="7"/>
  <c r="E488" i="7"/>
  <c r="E487" i="7"/>
  <c r="E486" i="7"/>
  <c r="E485" i="7"/>
  <c r="E484" i="7"/>
  <c r="E483" i="7"/>
  <c r="H489" i="7" l="1"/>
  <c r="H555" i="7"/>
  <c r="H573" i="7"/>
  <c r="H556" i="7"/>
  <c r="H499" i="7"/>
  <c r="H508" i="7"/>
  <c r="H558" i="7"/>
  <c r="E482" i="7" l="1"/>
  <c r="G482" i="7"/>
  <c r="E480" i="7"/>
  <c r="H482" i="7" l="1"/>
  <c r="E32" i="68"/>
  <c r="E481" i="7" l="1"/>
  <c r="E479" i="7"/>
  <c r="E478" i="7"/>
  <c r="E476" i="7"/>
  <c r="E475" i="7"/>
  <c r="E474" i="7"/>
  <c r="E473" i="7"/>
  <c r="E472" i="7"/>
  <c r="E471" i="7"/>
  <c r="E470" i="7"/>
  <c r="E468" i="7"/>
  <c r="G468" i="7"/>
  <c r="H468" i="7" s="1"/>
  <c r="E469" i="7"/>
  <c r="E467" i="7"/>
  <c r="E466" i="7"/>
  <c r="G466" i="7"/>
  <c r="H466" i="7" s="1"/>
  <c r="E465" i="7"/>
  <c r="E464" i="7"/>
  <c r="G464" i="7"/>
  <c r="H464" i="7" s="1"/>
  <c r="E463" i="7"/>
  <c r="E462" i="7"/>
  <c r="E461" i="7"/>
  <c r="E460" i="7"/>
  <c r="G460" i="7"/>
  <c r="H460" i="7" l="1"/>
  <c r="G379" i="7"/>
  <c r="G356" i="7"/>
  <c r="E41" i="68"/>
  <c r="F41" i="68" s="1"/>
  <c r="E356" i="7" s="1"/>
  <c r="E54" i="68"/>
  <c r="E51" i="68" s="1"/>
  <c r="E53" i="68"/>
  <c r="E52" i="68"/>
  <c r="E57" i="68"/>
  <c r="F57" i="68" s="1"/>
  <c r="E379" i="7" s="1"/>
  <c r="E67" i="68"/>
  <c r="H356" i="7" l="1"/>
  <c r="H379" i="7"/>
  <c r="E457" i="7" l="1"/>
  <c r="E456" i="7"/>
  <c r="E455" i="7"/>
  <c r="G456" i="7"/>
  <c r="E454" i="7"/>
  <c r="G453" i="7"/>
  <c r="H453" i="7" s="1"/>
  <c r="E452" i="7"/>
  <c r="E450" i="7"/>
  <c r="G450" i="7"/>
  <c r="G240" i="7"/>
  <c r="G218" i="7"/>
  <c r="F68" i="68"/>
  <c r="E376" i="7" s="1"/>
  <c r="G376" i="7"/>
  <c r="G375" i="7"/>
  <c r="G370" i="7"/>
  <c r="G368" i="7"/>
  <c r="G371" i="7"/>
  <c r="G372" i="7"/>
  <c r="G373" i="7"/>
  <c r="G374" i="7"/>
  <c r="G377" i="7"/>
  <c r="G378" i="7"/>
  <c r="G382" i="7"/>
  <c r="G383" i="7"/>
  <c r="G357" i="7"/>
  <c r="E449" i="7"/>
  <c r="G451" i="7"/>
  <c r="H451" i="7" s="1"/>
  <c r="G449" i="7"/>
  <c r="E448" i="7"/>
  <c r="E447" i="7"/>
  <c r="G448" i="7"/>
  <c r="G447" i="7"/>
  <c r="H447" i="7" s="1"/>
  <c r="E446" i="7"/>
  <c r="G446" i="7"/>
  <c r="E444" i="7"/>
  <c r="A182" i="70"/>
  <c r="H456" i="7" l="1"/>
  <c r="H446" i="7"/>
  <c r="H448" i="7"/>
  <c r="H449" i="7"/>
  <c r="H450" i="7"/>
  <c r="H376" i="7"/>
  <c r="G262" i="7"/>
  <c r="G260" i="7"/>
  <c r="G258" i="7"/>
  <c r="G244" i="7"/>
  <c r="E239" i="7" l="1"/>
  <c r="G239" i="7"/>
  <c r="E238" i="7"/>
  <c r="G232" i="7"/>
  <c r="G230" i="7"/>
  <c r="G219" i="7"/>
  <c r="F65" i="69"/>
  <c r="E266" i="7" s="1"/>
  <c r="F62" i="69"/>
  <c r="E240" i="7" s="1"/>
  <c r="E58" i="69"/>
  <c r="F58" i="69" s="1"/>
  <c r="E262" i="7" s="1"/>
  <c r="E57" i="69"/>
  <c r="F57" i="69" s="1"/>
  <c r="E261" i="7" s="1"/>
  <c r="F56" i="69"/>
  <c r="E260" i="7" s="1"/>
  <c r="F55" i="69"/>
  <c r="E439" i="7" s="1"/>
  <c r="F54" i="69"/>
  <c r="E259" i="7" s="1"/>
  <c r="F53" i="69"/>
  <c r="E258" i="7" s="1"/>
  <c r="H258" i="7" s="1"/>
  <c r="E34" i="69"/>
  <c r="F34" i="69" s="1"/>
  <c r="E233" i="7" s="1"/>
  <c r="F33" i="69"/>
  <c r="E234" i="7" s="1"/>
  <c r="E32" i="69"/>
  <c r="F32" i="69" s="1"/>
  <c r="F31" i="69"/>
  <c r="E232" i="7" s="1"/>
  <c r="F29" i="69"/>
  <c r="E230" i="7" s="1"/>
  <c r="F25" i="69"/>
  <c r="E246" i="7" s="1"/>
  <c r="E24" i="69"/>
  <c r="F24" i="69" s="1"/>
  <c r="E23" i="69"/>
  <c r="F23" i="69" s="1"/>
  <c r="E245" i="7" s="1"/>
  <c r="F22" i="69"/>
  <c r="E244" i="7" s="1"/>
  <c r="F21" i="69"/>
  <c r="E243" i="7" s="1"/>
  <c r="E18" i="69"/>
  <c r="F18" i="69" s="1"/>
  <c r="E226" i="7" s="1"/>
  <c r="E15" i="69"/>
  <c r="F15" i="69" s="1"/>
  <c r="E220" i="7" s="1"/>
  <c r="E14" i="69"/>
  <c r="F14" i="69" s="1"/>
  <c r="E219" i="7" s="1"/>
  <c r="E13" i="69"/>
  <c r="F13" i="69" s="1"/>
  <c r="E217" i="7" s="1"/>
  <c r="E12" i="69"/>
  <c r="F12" i="69" s="1"/>
  <c r="E216" i="7" s="1"/>
  <c r="E11" i="69"/>
  <c r="F11" i="69" s="1"/>
  <c r="E218" i="7" s="1"/>
  <c r="F7" i="69"/>
  <c r="E235" i="7" s="1"/>
  <c r="F4" i="69"/>
  <c r="E30" i="69" l="1"/>
  <c r="F30" i="69" s="1"/>
  <c r="E231" i="7" s="1"/>
  <c r="F28" i="69"/>
  <c r="E229" i="7" s="1"/>
  <c r="F10" i="69"/>
  <c r="E215" i="7" s="1"/>
  <c r="G390" i="7" l="1"/>
  <c r="G391" i="7"/>
  <c r="G392" i="7"/>
  <c r="G389" i="7"/>
  <c r="G388" i="7"/>
  <c r="G386" i="7"/>
  <c r="G387" i="7"/>
  <c r="G355" i="7"/>
  <c r="F39" i="68"/>
  <c r="G351" i="7"/>
  <c r="E26" i="68"/>
  <c r="G336" i="7"/>
  <c r="G335" i="7"/>
  <c r="G334" i="7"/>
  <c r="G331" i="7"/>
  <c r="G344" i="7"/>
  <c r="G343" i="7"/>
  <c r="F78" i="68"/>
  <c r="E399" i="7" s="1"/>
  <c r="F75" i="68"/>
  <c r="E357" i="7" s="1"/>
  <c r="H357" i="7" s="1"/>
  <c r="F72" i="68"/>
  <c r="E394" i="7" s="1"/>
  <c r="F71" i="68"/>
  <c r="E393" i="7" s="1"/>
  <c r="F70" i="68"/>
  <c r="E395" i="7" s="1"/>
  <c r="F69" i="68"/>
  <c r="E377" i="7" s="1"/>
  <c r="H377" i="7" s="1"/>
  <c r="F67" i="68"/>
  <c r="E375" i="7" s="1"/>
  <c r="H375" i="7" s="1"/>
  <c r="F66" i="68"/>
  <c r="E392" i="7" s="1"/>
  <c r="F65" i="68"/>
  <c r="E391" i="7" s="1"/>
  <c r="F64" i="68"/>
  <c r="E390" i="7" s="1"/>
  <c r="F63" i="68"/>
  <c r="E389" i="7" s="1"/>
  <c r="F62" i="68"/>
  <c r="E388" i="7" s="1"/>
  <c r="F61" i="68"/>
  <c r="E387" i="7" s="1"/>
  <c r="E60" i="68"/>
  <c r="F60" i="68" s="1"/>
  <c r="E386" i="7" s="1"/>
  <c r="F56" i="68"/>
  <c r="E378" i="7" s="1"/>
  <c r="F54" i="68"/>
  <c r="E374" i="7" s="1"/>
  <c r="H374" i="7" s="1"/>
  <c r="F53" i="68"/>
  <c r="E373" i="7" s="1"/>
  <c r="H373" i="7" s="1"/>
  <c r="F52" i="68"/>
  <c r="E372" i="7" s="1"/>
  <c r="H372" i="7" s="1"/>
  <c r="F50" i="68"/>
  <c r="F49" i="68"/>
  <c r="E369" i="7" s="1"/>
  <c r="F48" i="68"/>
  <c r="E368" i="7" s="1"/>
  <c r="H368" i="7" s="1"/>
  <c r="E45" i="68"/>
  <c r="F45" i="68" s="1"/>
  <c r="E383" i="7" s="1"/>
  <c r="H383" i="7" s="1"/>
  <c r="E44" i="68"/>
  <c r="F44" i="68" s="1"/>
  <c r="E382" i="7" s="1"/>
  <c r="H382" i="7" s="1"/>
  <c r="E40" i="68"/>
  <c r="F40" i="68" s="1"/>
  <c r="E355" i="7" s="1"/>
  <c r="F38" i="68"/>
  <c r="F35" i="68"/>
  <c r="E351" i="7" s="1"/>
  <c r="F34" i="68"/>
  <c r="E350" i="7" s="1"/>
  <c r="F33" i="68"/>
  <c r="E28" i="68"/>
  <c r="F28" i="68" s="1"/>
  <c r="E27" i="68"/>
  <c r="F27" i="68" s="1"/>
  <c r="F26" i="68"/>
  <c r="E334" i="7" s="1"/>
  <c r="F25" i="68"/>
  <c r="E335" i="7" s="1"/>
  <c r="E22" i="68"/>
  <c r="F22" i="68" s="1"/>
  <c r="E343" i="7" s="1"/>
  <c r="E21" i="68"/>
  <c r="F21" i="68" s="1"/>
  <c r="E20" i="68"/>
  <c r="F20" i="68" s="1"/>
  <c r="E344" i="7" s="1"/>
  <c r="E19" i="68"/>
  <c r="F19" i="68" s="1"/>
  <c r="E342" i="7" s="1"/>
  <c r="E16" i="68"/>
  <c r="F16" i="68" s="1"/>
  <c r="E329" i="7" s="1"/>
  <c r="E15" i="68"/>
  <c r="F15" i="68" s="1"/>
  <c r="E330" i="7" s="1"/>
  <c r="E14" i="68"/>
  <c r="F14" i="68" s="1"/>
  <c r="E327" i="7" s="1"/>
  <c r="E13" i="68"/>
  <c r="F13" i="68" s="1"/>
  <c r="E326" i="7" s="1"/>
  <c r="E12" i="68"/>
  <c r="F12" i="68" s="1"/>
  <c r="E328" i="7" s="1"/>
  <c r="F11" i="68"/>
  <c r="E331" i="7" s="1"/>
  <c r="F10" i="68"/>
  <c r="E325" i="7" s="1"/>
  <c r="F7" i="68"/>
  <c r="E352" i="7" s="1"/>
  <c r="F4" i="68"/>
  <c r="E396" i="7" l="1"/>
  <c r="E336" i="7"/>
  <c r="H384" i="7"/>
  <c r="D60" i="9" s="1"/>
  <c r="C54" i="8" s="1"/>
  <c r="S54" i="8" s="1"/>
  <c r="T54" i="8" s="1"/>
  <c r="H378" i="7"/>
  <c r="E370" i="7"/>
  <c r="H370" i="7" s="1"/>
  <c r="H386" i="7"/>
  <c r="H355" i="7"/>
  <c r="H358" i="7" s="1"/>
  <c r="D57" i="9" s="1"/>
  <c r="C51" i="8" s="1"/>
  <c r="Q51" i="8" s="1"/>
  <c r="R51" i="8" s="1"/>
  <c r="H334" i="7"/>
  <c r="F51" i="68"/>
  <c r="E371" i="7" s="1"/>
  <c r="H371" i="7" s="1"/>
  <c r="H337" i="7" l="1"/>
  <c r="D54" i="9" s="1"/>
  <c r="C48" i="8" s="1"/>
  <c r="F31" i="68"/>
  <c r="E348" i="7" s="1"/>
  <c r="F32" i="68"/>
  <c r="E349" i="7" s="1"/>
  <c r="S48" i="8" l="1"/>
  <c r="T48" i="8" s="1"/>
  <c r="Q48" i="8"/>
  <c r="R48" i="8" s="1"/>
  <c r="G812" i="7"/>
  <c r="G813" i="7"/>
  <c r="G814" i="7"/>
  <c r="G808" i="7"/>
  <c r="E690" i="7"/>
  <c r="E689" i="7"/>
  <c r="H814" i="7" l="1"/>
  <c r="H813" i="7"/>
  <c r="H812" i="7"/>
  <c r="H808" i="7"/>
  <c r="G689" i="7" l="1"/>
  <c r="H689" i="7" s="1"/>
  <c r="G690" i="7"/>
  <c r="H690" i="7" s="1"/>
  <c r="E714" i="7"/>
  <c r="E707" i="7"/>
  <c r="E706" i="7"/>
  <c r="E705" i="7"/>
  <c r="E717" i="7"/>
  <c r="E716" i="7"/>
  <c r="E715" i="7"/>
  <c r="G714" i="7"/>
  <c r="E704" i="7"/>
  <c r="E703" i="7"/>
  <c r="E702" i="7"/>
  <c r="E701" i="7"/>
  <c r="E700" i="7"/>
  <c r="E699" i="7"/>
  <c r="G699" i="7"/>
  <c r="E698" i="7"/>
  <c r="E697" i="7"/>
  <c r="E696" i="7"/>
  <c r="E695" i="7"/>
  <c r="E694" i="7"/>
  <c r="E693" i="7"/>
  <c r="E692" i="7"/>
  <c r="E691" i="7"/>
  <c r="E688" i="7"/>
  <c r="E687" i="7"/>
  <c r="E686" i="7"/>
  <c r="E685" i="7"/>
  <c r="E684" i="7"/>
  <c r="E683" i="7"/>
  <c r="E682" i="7"/>
  <c r="E681" i="7"/>
  <c r="E680" i="7"/>
  <c r="E679" i="7"/>
  <c r="G679" i="7"/>
  <c r="E678" i="7"/>
  <c r="E677" i="7"/>
  <c r="E676" i="7"/>
  <c r="E675" i="7"/>
  <c r="E674" i="7"/>
  <c r="E672" i="7"/>
  <c r="E671" i="7"/>
  <c r="E670" i="7"/>
  <c r="E669" i="7"/>
  <c r="E668" i="7"/>
  <c r="E667" i="7"/>
  <c r="E666" i="7"/>
  <c r="E665" i="7"/>
  <c r="E664" i="7"/>
  <c r="E663" i="7"/>
  <c r="E662" i="7"/>
  <c r="H714" i="7" l="1"/>
  <c r="H699" i="7"/>
  <c r="H679" i="7"/>
  <c r="E760" i="7" l="1"/>
  <c r="E759" i="7"/>
  <c r="E758" i="7"/>
  <c r="E757" i="7"/>
  <c r="E756" i="7"/>
  <c r="E755" i="7"/>
  <c r="E754" i="7"/>
  <c r="E753" i="7"/>
  <c r="E752" i="7"/>
  <c r="E751" i="7"/>
  <c r="E750" i="7"/>
  <c r="E746" i="7"/>
  <c r="E745" i="7"/>
  <c r="E737" i="7"/>
  <c r="E733" i="7"/>
  <c r="G736" i="7"/>
  <c r="G751" i="7"/>
  <c r="G752" i="7"/>
  <c r="G753" i="7"/>
  <c r="G754" i="7"/>
  <c r="G755" i="7"/>
  <c r="G756" i="7"/>
  <c r="G757" i="7"/>
  <c r="G758" i="7"/>
  <c r="G759" i="7"/>
  <c r="G760" i="7"/>
  <c r="G746" i="7"/>
  <c r="G742" i="7"/>
  <c r="G734" i="7"/>
  <c r="C28" i="66"/>
  <c r="C27" i="66"/>
  <c r="E748" i="7"/>
  <c r="E743" i="7"/>
  <c r="E740" i="7"/>
  <c r="E747" i="7"/>
  <c r="E738" i="7"/>
  <c r="C10" i="66"/>
  <c r="E736" i="7"/>
  <c r="E749" i="7" l="1"/>
  <c r="E739" i="7"/>
  <c r="E734" i="7"/>
  <c r="H734" i="7" s="1"/>
  <c r="E732" i="7"/>
  <c r="E744" i="7"/>
  <c r="H760" i="7"/>
  <c r="H758" i="7"/>
  <c r="H756" i="7"/>
  <c r="H754" i="7"/>
  <c r="H759" i="7"/>
  <c r="H757" i="7"/>
  <c r="H755" i="7"/>
  <c r="H751" i="7"/>
  <c r="H746" i="7"/>
  <c r="H752" i="7"/>
  <c r="H753" i="7"/>
  <c r="E735" i="7"/>
  <c r="H736" i="7" l="1"/>
  <c r="E742" i="7"/>
  <c r="H742" i="7" s="1"/>
  <c r="E741" i="7"/>
  <c r="E657" i="7"/>
  <c r="E650" i="7"/>
  <c r="E655" i="7"/>
  <c r="E656" i="7"/>
  <c r="E653" i="7"/>
  <c r="E654" i="7"/>
  <c r="E651" i="7"/>
  <c r="E652" i="7"/>
  <c r="E648" i="7"/>
  <c r="E649" i="7"/>
  <c r="E647" i="7"/>
  <c r="G803" i="7" l="1"/>
  <c r="G802" i="7"/>
  <c r="H802" i="7" l="1"/>
  <c r="H803" i="7"/>
  <c r="G840" i="7" l="1"/>
  <c r="G820" i="7"/>
  <c r="G821" i="7"/>
  <c r="G822" i="7"/>
  <c r="G819" i="7"/>
  <c r="G816" i="7"/>
  <c r="G807" i="7"/>
  <c r="G804" i="7"/>
  <c r="G799" i="7"/>
  <c r="H840" i="7" l="1"/>
  <c r="H820" i="7"/>
  <c r="H822" i="7"/>
  <c r="H821" i="7"/>
  <c r="H819" i="7"/>
  <c r="H804" i="7"/>
  <c r="H816" i="7"/>
  <c r="H807" i="7"/>
  <c r="H799" i="7"/>
  <c r="G313" i="7" l="1"/>
  <c r="E303" i="7"/>
  <c r="E302" i="7"/>
  <c r="E301" i="7"/>
  <c r="E296" i="7"/>
  <c r="E288" i="7"/>
  <c r="E286" i="7"/>
  <c r="E284" i="7"/>
  <c r="E341" i="7"/>
  <c r="E339" i="7"/>
  <c r="E313" i="7"/>
  <c r="E312" i="7"/>
  <c r="E311" i="7"/>
  <c r="E310" i="7"/>
  <c r="E309" i="7"/>
  <c r="E308" i="7"/>
  <c r="E300" i="7"/>
  <c r="E299" i="7"/>
  <c r="E298" i="7"/>
  <c r="E297" i="7"/>
  <c r="E283" i="7"/>
  <c r="I42" i="63"/>
  <c r="E287" i="7" s="1"/>
  <c r="I41" i="63"/>
  <c r="E285" i="7" s="1"/>
  <c r="I40" i="63"/>
  <c r="I33" i="63"/>
  <c r="E280" i="7"/>
  <c r="E318" i="7"/>
  <c r="E292" i="7"/>
  <c r="I17" i="63"/>
  <c r="I14" i="63"/>
  <c r="E275" i="7"/>
  <c r="I26" i="63" l="1"/>
  <c r="E278" i="7"/>
  <c r="E282" i="7"/>
  <c r="I16" i="63"/>
  <c r="E279" i="7" s="1"/>
  <c r="E277" i="7"/>
  <c r="E281" i="7"/>
  <c r="E289" i="7"/>
  <c r="E290" i="7"/>
  <c r="E276" i="7"/>
  <c r="E307" i="7"/>
  <c r="E317" i="7" l="1"/>
  <c r="E322" i="7" s="1"/>
  <c r="I29" i="63"/>
  <c r="L29" i="63" s="1"/>
  <c r="I27" i="63"/>
  <c r="I28" i="63" s="1"/>
  <c r="E321" i="7" s="1"/>
  <c r="K65" i="62"/>
  <c r="E35" i="7"/>
  <c r="E34" i="7"/>
  <c r="K81" i="62"/>
  <c r="E83" i="7" s="1"/>
  <c r="K80" i="62"/>
  <c r="E81" i="7" s="1"/>
  <c r="E70" i="7"/>
  <c r="K68" i="62"/>
  <c r="E62" i="7" s="1"/>
  <c r="K69" i="62"/>
  <c r="E63" i="7" s="1"/>
  <c r="K70" i="62"/>
  <c r="E64" i="7" s="1"/>
  <c r="K71" i="62"/>
  <c r="E65" i="7" s="1"/>
  <c r="K72" i="62"/>
  <c r="E66" i="7" s="1"/>
  <c r="K73" i="62"/>
  <c r="E67" i="7" s="1"/>
  <c r="K74" i="62"/>
  <c r="E68" i="7" s="1"/>
  <c r="K75" i="62"/>
  <c r="E69" i="7" s="1"/>
  <c r="K67" i="62"/>
  <c r="E61" i="7" s="1"/>
  <c r="K59" i="62"/>
  <c r="E54" i="7" s="1"/>
  <c r="K60" i="62"/>
  <c r="K61" i="62"/>
  <c r="E55" i="7" s="1"/>
  <c r="K62" i="62"/>
  <c r="E56" i="7" s="1"/>
  <c r="K63" i="62"/>
  <c r="E57" i="7" s="1"/>
  <c r="K64" i="62"/>
  <c r="E58" i="7" s="1"/>
  <c r="K58" i="62"/>
  <c r="E53" i="7" s="1"/>
  <c r="K49" i="62"/>
  <c r="K50" i="62"/>
  <c r="K51" i="62"/>
  <c r="K52" i="62"/>
  <c r="K53" i="62"/>
  <c r="K54" i="62"/>
  <c r="K48" i="62"/>
  <c r="K41" i="62"/>
  <c r="K40" i="62"/>
  <c r="K33" i="62"/>
  <c r="K32" i="62"/>
  <c r="K24" i="62"/>
  <c r="T42" i="62"/>
  <c r="T18" i="62"/>
  <c r="T17" i="62"/>
  <c r="I46" i="62"/>
  <c r="K46" i="62" s="1"/>
  <c r="I45" i="62"/>
  <c r="K45" i="62" s="1"/>
  <c r="I44" i="62"/>
  <c r="K44" i="62" s="1"/>
  <c r="E43" i="7" s="1"/>
  <c r="I43" i="62"/>
  <c r="K43" i="62" s="1"/>
  <c r="I42" i="62"/>
  <c r="K37" i="62"/>
  <c r="K34" i="62"/>
  <c r="I30" i="62"/>
  <c r="K30" i="62" s="1"/>
  <c r="E76" i="7" s="1"/>
  <c r="I28" i="62"/>
  <c r="I29" i="62" s="1"/>
  <c r="K29" i="62" s="1"/>
  <c r="E78" i="7" s="1"/>
  <c r="I27" i="62"/>
  <c r="K23" i="62"/>
  <c r="E50" i="7" s="1"/>
  <c r="I21" i="62"/>
  <c r="I17" i="62"/>
  <c r="I20" i="62"/>
  <c r="I19" i="62"/>
  <c r="E42" i="7" l="1"/>
  <c r="E38" i="7"/>
  <c r="K42" i="62"/>
  <c r="E40" i="7" s="1"/>
  <c r="E39" i="7"/>
  <c r="E44" i="7"/>
  <c r="E41" i="7"/>
  <c r="K17" i="62"/>
  <c r="I26" i="62"/>
  <c r="K26" i="62" s="1"/>
  <c r="E75" i="7" s="1"/>
  <c r="I4" i="62"/>
  <c r="I5" i="62"/>
  <c r="K5" i="62" s="1"/>
  <c r="E319" i="7"/>
  <c r="E320" i="7"/>
  <c r="K19" i="62"/>
  <c r="K22" i="62"/>
  <c r="K20" i="62"/>
  <c r="K21" i="62"/>
  <c r="K27" i="62"/>
  <c r="E74" i="7" s="1"/>
  <c r="K28" i="62"/>
  <c r="E77" i="7" s="1"/>
  <c r="I16" i="62"/>
  <c r="E48" i="7" l="1"/>
  <c r="E47" i="7"/>
  <c r="I6" i="62"/>
  <c r="K6" i="62" s="1"/>
  <c r="K4" i="62"/>
  <c r="E29" i="7" s="1"/>
  <c r="E30" i="7" s="1"/>
  <c r="K16" i="62"/>
  <c r="E36" i="7" s="1"/>
  <c r="I18" i="62"/>
  <c r="K18" i="62" s="1"/>
  <c r="E37" i="7" s="1"/>
  <c r="G179" i="7"/>
  <c r="E209" i="7"/>
  <c r="E208" i="7"/>
  <c r="G204" i="7"/>
  <c r="G199" i="7"/>
  <c r="E191" i="7" l="1"/>
  <c r="E187" i="7"/>
  <c r="E185" i="7"/>
  <c r="E180" i="7"/>
  <c r="E177" i="7"/>
  <c r="E173" i="7"/>
  <c r="E172" i="7"/>
  <c r="I69" i="61"/>
  <c r="E225" i="7" s="1"/>
  <c r="I68" i="61"/>
  <c r="E223" i="7" s="1"/>
  <c r="E199" i="7"/>
  <c r="E204" i="7"/>
  <c r="E202" i="7"/>
  <c r="E201" i="7"/>
  <c r="E196" i="7"/>
  <c r="E193" i="7"/>
  <c r="E192" i="7"/>
  <c r="E190" i="7"/>
  <c r="E179" i="7"/>
  <c r="E181" i="7"/>
  <c r="E178" i="7"/>
  <c r="E176" i="7"/>
  <c r="E184" i="7"/>
  <c r="E210" i="7"/>
  <c r="E174" i="7"/>
  <c r="E198" i="7" l="1"/>
  <c r="E197" i="7"/>
  <c r="E212" i="7"/>
  <c r="E211" i="7"/>
  <c r="E175" i="7"/>
  <c r="E82" i="7" l="1"/>
  <c r="G322" i="7" l="1"/>
  <c r="G136" i="7"/>
  <c r="G24" i="7" l="1"/>
  <c r="H24" i="7" s="1"/>
  <c r="G18" i="7"/>
  <c r="H18" i="7" s="1"/>
  <c r="A64" i="8" l="1"/>
  <c r="A65" i="8"/>
  <c r="A66" i="8"/>
  <c r="A67" i="8"/>
  <c r="A68" i="8"/>
  <c r="A69" i="8"/>
  <c r="A70" i="8"/>
  <c r="A71" i="8"/>
  <c r="A72" i="8"/>
  <c r="A73" i="8"/>
  <c r="A74" i="8"/>
  <c r="A75" i="8"/>
  <c r="A76" i="8"/>
  <c r="A63" i="8"/>
  <c r="A59" i="8"/>
  <c r="A60" i="8"/>
  <c r="A61" i="8"/>
  <c r="A58" i="8"/>
  <c r="A46" i="8"/>
  <c r="B52" i="9"/>
  <c r="B46" i="8" s="1"/>
  <c r="G9" i="7" l="1"/>
  <c r="G321" i="7" l="1"/>
  <c r="G320" i="7"/>
  <c r="G319" i="7"/>
  <c r="G318" i="7"/>
  <c r="G317" i="7"/>
  <c r="H322" i="7" l="1"/>
  <c r="H317" i="7"/>
  <c r="H318" i="7"/>
  <c r="H321" i="7" l="1"/>
  <c r="H320" i="7"/>
  <c r="A84" i="8" l="1"/>
  <c r="A85" i="8"/>
  <c r="A86" i="8"/>
  <c r="A87" i="8"/>
  <c r="A78" i="8"/>
  <c r="A43" i="8"/>
  <c r="A44" i="8"/>
  <c r="A45" i="8"/>
  <c r="A29" i="8"/>
  <c r="A30" i="8"/>
  <c r="A31" i="8"/>
  <c r="A32" i="8"/>
  <c r="A33" i="8"/>
  <c r="A34" i="8"/>
  <c r="A35" i="8"/>
  <c r="A36" i="8"/>
  <c r="A37" i="8"/>
  <c r="A38" i="8"/>
  <c r="A39" i="8"/>
  <c r="A40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12" i="8"/>
  <c r="A10" i="8"/>
  <c r="A77" i="8"/>
  <c r="A62" i="8"/>
  <c r="A57" i="8"/>
  <c r="A41" i="8"/>
  <c r="A27" i="8"/>
  <c r="A11" i="8"/>
  <c r="A8" i="8"/>
  <c r="A9" i="8"/>
  <c r="B87" i="9"/>
  <c r="B78" i="8" s="1"/>
  <c r="B84" i="9"/>
  <c r="B76" i="8" s="1"/>
  <c r="B83" i="9"/>
  <c r="B75" i="8" s="1"/>
  <c r="B82" i="9"/>
  <c r="B74" i="8" s="1"/>
  <c r="B81" i="9"/>
  <c r="B73" i="8" s="1"/>
  <c r="B80" i="9"/>
  <c r="B72" i="8" s="1"/>
  <c r="B79" i="9"/>
  <c r="B71" i="8" s="1"/>
  <c r="B78" i="9"/>
  <c r="B70" i="8" s="1"/>
  <c r="B77" i="9"/>
  <c r="B69" i="8" s="1"/>
  <c r="B76" i="9"/>
  <c r="B68" i="8" s="1"/>
  <c r="B75" i="9"/>
  <c r="B67" i="8" s="1"/>
  <c r="B74" i="9"/>
  <c r="B66" i="8" s="1"/>
  <c r="B73" i="9"/>
  <c r="B65" i="8" s="1"/>
  <c r="B72" i="9"/>
  <c r="B64" i="8" s="1"/>
  <c r="B71" i="9"/>
  <c r="B63" i="8" s="1"/>
  <c r="B68" i="9"/>
  <c r="B61" i="8" s="1"/>
  <c r="B67" i="9"/>
  <c r="B60" i="8" s="1"/>
  <c r="B66" i="9"/>
  <c r="B59" i="8" s="1"/>
  <c r="B65" i="9"/>
  <c r="B58" i="8" s="1"/>
  <c r="B56" i="8"/>
  <c r="B55" i="8"/>
  <c r="B53" i="8"/>
  <c r="B52" i="8"/>
  <c r="B50" i="8"/>
  <c r="B55" i="9"/>
  <c r="B49" i="8" s="1"/>
  <c r="B53" i="9"/>
  <c r="B47" i="8" s="1"/>
  <c r="B51" i="9"/>
  <c r="B45" i="8" s="1"/>
  <c r="B50" i="9"/>
  <c r="B44" i="8" s="1"/>
  <c r="B49" i="9"/>
  <c r="B43" i="8" s="1"/>
  <c r="B48" i="9"/>
  <c r="B42" i="8" s="1"/>
  <c r="B45" i="9"/>
  <c r="B40" i="8" s="1"/>
  <c r="B44" i="9"/>
  <c r="B39" i="8" s="1"/>
  <c r="B43" i="9"/>
  <c r="B38" i="8" s="1"/>
  <c r="B42" i="9"/>
  <c r="B37" i="8" s="1"/>
  <c r="B41" i="9"/>
  <c r="B36" i="8" s="1"/>
  <c r="B40" i="9"/>
  <c r="B35" i="8" s="1"/>
  <c r="B39" i="9"/>
  <c r="B34" i="8" s="1"/>
  <c r="B38" i="9"/>
  <c r="B33" i="8" s="1"/>
  <c r="B37" i="9"/>
  <c r="B32" i="8" s="1"/>
  <c r="B36" i="9"/>
  <c r="B31" i="8" s="1"/>
  <c r="B35" i="9"/>
  <c r="B30" i="8" s="1"/>
  <c r="B34" i="9"/>
  <c r="B29" i="8" s="1"/>
  <c r="B33" i="9"/>
  <c r="B28" i="8" s="1"/>
  <c r="B30" i="9"/>
  <c r="B26" i="8" s="1"/>
  <c r="B29" i="9"/>
  <c r="B25" i="8" s="1"/>
  <c r="B28" i="9"/>
  <c r="B24" i="8" s="1"/>
  <c r="B27" i="9"/>
  <c r="B23" i="8" s="1"/>
  <c r="B26" i="9"/>
  <c r="B22" i="8" s="1"/>
  <c r="B25" i="9"/>
  <c r="B21" i="8" s="1"/>
  <c r="B24" i="9"/>
  <c r="B20" i="8" s="1"/>
  <c r="B23" i="9"/>
  <c r="B19" i="8" s="1"/>
  <c r="B22" i="9"/>
  <c r="B18" i="8" s="1"/>
  <c r="B21" i="9"/>
  <c r="B17" i="8" s="1"/>
  <c r="B20" i="9"/>
  <c r="B16" i="8" s="1"/>
  <c r="B19" i="9"/>
  <c r="B15" i="8" s="1"/>
  <c r="B18" i="9"/>
  <c r="B14" i="8" s="1"/>
  <c r="B17" i="9"/>
  <c r="B13" i="8" s="1"/>
  <c r="B16" i="9"/>
  <c r="B12" i="8" s="1"/>
  <c r="B13" i="9"/>
  <c r="B10" i="8" s="1"/>
  <c r="B12" i="9"/>
  <c r="B9" i="8" s="1"/>
  <c r="G648" i="7"/>
  <c r="H648" i="7" s="1"/>
  <c r="G649" i="7"/>
  <c r="H649" i="7" s="1"/>
  <c r="G650" i="7"/>
  <c r="H650" i="7" s="1"/>
  <c r="G651" i="7"/>
  <c r="H651" i="7" s="1"/>
  <c r="G652" i="7"/>
  <c r="H652" i="7" s="1"/>
  <c r="G653" i="7"/>
  <c r="H653" i="7" s="1"/>
  <c r="G654" i="7"/>
  <c r="H654" i="7" s="1"/>
  <c r="G655" i="7"/>
  <c r="H655" i="7" s="1"/>
  <c r="G656" i="7"/>
  <c r="H656" i="7" s="1"/>
  <c r="G657" i="7"/>
  <c r="H657" i="7" s="1"/>
  <c r="G647" i="7" l="1"/>
  <c r="H647" i="7" l="1"/>
  <c r="H658" i="7" s="1"/>
  <c r="H659" i="7" l="1"/>
  <c r="D87" i="9"/>
  <c r="C78" i="8" s="1"/>
  <c r="U78" i="8" l="1"/>
  <c r="V78" i="8" s="1"/>
  <c r="S78" i="8"/>
  <c r="T78" i="8" s="1"/>
  <c r="D88" i="9"/>
  <c r="G342" i="7" l="1"/>
  <c r="G839" i="7" l="1"/>
  <c r="H839" i="7" s="1"/>
  <c r="H842" i="7" s="1"/>
  <c r="G827" i="7"/>
  <c r="H827" i="7" s="1"/>
  <c r="G826" i="7"/>
  <c r="H826" i="7" s="1"/>
  <c r="G825" i="7"/>
  <c r="H825" i="7" s="1"/>
  <c r="G824" i="7"/>
  <c r="H824" i="7" s="1"/>
  <c r="G823" i="7"/>
  <c r="H823" i="7" s="1"/>
  <c r="G818" i="7"/>
  <c r="H818" i="7" s="1"/>
  <c r="G817" i="7"/>
  <c r="H817" i="7" s="1"/>
  <c r="G800" i="7"/>
  <c r="H800" i="7" s="1"/>
  <c r="G815" i="7"/>
  <c r="H815" i="7" s="1"/>
  <c r="G801" i="7"/>
  <c r="H801" i="7" s="1"/>
  <c r="G811" i="7"/>
  <c r="H811" i="7" s="1"/>
  <c r="G810" i="7"/>
  <c r="H810" i="7" s="1"/>
  <c r="G809" i="7"/>
  <c r="H809" i="7" s="1"/>
  <c r="G806" i="7"/>
  <c r="H806" i="7" s="1"/>
  <c r="G805" i="7"/>
  <c r="H805" i="7" s="1"/>
  <c r="G798" i="7"/>
  <c r="H798" i="7" s="1"/>
  <c r="G797" i="7"/>
  <c r="H797" i="7" s="1"/>
  <c r="G781" i="7"/>
  <c r="H781" i="7" s="1"/>
  <c r="G780" i="7"/>
  <c r="H780" i="7" s="1"/>
  <c r="G779" i="7"/>
  <c r="H779" i="7" s="1"/>
  <c r="G778" i="7"/>
  <c r="H778" i="7" s="1"/>
  <c r="G777" i="7"/>
  <c r="H777" i="7" s="1"/>
  <c r="G776" i="7"/>
  <c r="H776" i="7" s="1"/>
  <c r="G775" i="7"/>
  <c r="H775" i="7" s="1"/>
  <c r="G772" i="7"/>
  <c r="H772" i="7" s="1"/>
  <c r="G771" i="7"/>
  <c r="H771" i="7" s="1"/>
  <c r="G768" i="7"/>
  <c r="H768" i="7" s="1"/>
  <c r="G767" i="7"/>
  <c r="H767" i="7" s="1"/>
  <c r="G766" i="7"/>
  <c r="H766" i="7" s="1"/>
  <c r="G765" i="7"/>
  <c r="H765" i="7" s="1"/>
  <c r="G750" i="7"/>
  <c r="H750" i="7" s="1"/>
  <c r="G749" i="7"/>
  <c r="H749" i="7" s="1"/>
  <c r="G748" i="7"/>
  <c r="H748" i="7" s="1"/>
  <c r="G741" i="7"/>
  <c r="H741" i="7" s="1"/>
  <c r="G740" i="7"/>
  <c r="H740" i="7" s="1"/>
  <c r="G744" i="7"/>
  <c r="H744" i="7" s="1"/>
  <c r="G743" i="7"/>
  <c r="H743" i="7" s="1"/>
  <c r="G735" i="7"/>
  <c r="H735" i="7" s="1"/>
  <c r="G747" i="7"/>
  <c r="H747" i="7" s="1"/>
  <c r="G737" i="7"/>
  <c r="H737" i="7" s="1"/>
  <c r="G745" i="7"/>
  <c r="H745" i="7" s="1"/>
  <c r="G739" i="7"/>
  <c r="H739" i="7" s="1"/>
  <c r="G738" i="7"/>
  <c r="H738" i="7" s="1"/>
  <c r="G733" i="7"/>
  <c r="H733" i="7" s="1"/>
  <c r="G732" i="7"/>
  <c r="H732" i="7" s="1"/>
  <c r="G717" i="7"/>
  <c r="H717" i="7" s="1"/>
  <c r="G716" i="7"/>
  <c r="H716" i="7" s="1"/>
  <c r="G715" i="7"/>
  <c r="H715" i="7" s="1"/>
  <c r="G708" i="7"/>
  <c r="H708" i="7" s="1"/>
  <c r="G707" i="7"/>
  <c r="H707" i="7" s="1"/>
  <c r="G706" i="7"/>
  <c r="H706" i="7" s="1"/>
  <c r="G705" i="7"/>
  <c r="H705" i="7" s="1"/>
  <c r="G704" i="7"/>
  <c r="H704" i="7" s="1"/>
  <c r="G703" i="7"/>
  <c r="H703" i="7" s="1"/>
  <c r="G702" i="7"/>
  <c r="H702" i="7" s="1"/>
  <c r="G701" i="7"/>
  <c r="H701" i="7" s="1"/>
  <c r="G700" i="7"/>
  <c r="H700" i="7" s="1"/>
  <c r="G698" i="7"/>
  <c r="H698" i="7" s="1"/>
  <c r="G697" i="7"/>
  <c r="H697" i="7" s="1"/>
  <c r="G696" i="7"/>
  <c r="H696" i="7" s="1"/>
  <c r="G695" i="7"/>
  <c r="H695" i="7" s="1"/>
  <c r="G694" i="7"/>
  <c r="H694" i="7" s="1"/>
  <c r="G693" i="7"/>
  <c r="H693" i="7" s="1"/>
  <c r="G692" i="7"/>
  <c r="H692" i="7" s="1"/>
  <c r="G691" i="7"/>
  <c r="H691" i="7" s="1"/>
  <c r="G688" i="7"/>
  <c r="H688" i="7" s="1"/>
  <c r="G687" i="7"/>
  <c r="H687" i="7" s="1"/>
  <c r="G686" i="7"/>
  <c r="H686" i="7" s="1"/>
  <c r="G685" i="7"/>
  <c r="H685" i="7" s="1"/>
  <c r="G684" i="7"/>
  <c r="H684" i="7" s="1"/>
  <c r="G683" i="7"/>
  <c r="H683" i="7" s="1"/>
  <c r="G682" i="7"/>
  <c r="H682" i="7" s="1"/>
  <c r="G681" i="7"/>
  <c r="H681" i="7" s="1"/>
  <c r="G680" i="7"/>
  <c r="H680" i="7" s="1"/>
  <c r="G678" i="7"/>
  <c r="H678" i="7" s="1"/>
  <c r="G677" i="7"/>
  <c r="H677" i="7" s="1"/>
  <c r="G676" i="7"/>
  <c r="H676" i="7" s="1"/>
  <c r="G675" i="7"/>
  <c r="H675" i="7" s="1"/>
  <c r="G674" i="7"/>
  <c r="H674" i="7" s="1"/>
  <c r="G673" i="7"/>
  <c r="H673" i="7" s="1"/>
  <c r="G672" i="7"/>
  <c r="H672" i="7" s="1"/>
  <c r="G671" i="7"/>
  <c r="H671" i="7" s="1"/>
  <c r="G670" i="7"/>
  <c r="H670" i="7" s="1"/>
  <c r="G669" i="7"/>
  <c r="H669" i="7" s="1"/>
  <c r="G668" i="7"/>
  <c r="H668" i="7" s="1"/>
  <c r="G667" i="7"/>
  <c r="H667" i="7" s="1"/>
  <c r="G666" i="7"/>
  <c r="H666" i="7" s="1"/>
  <c r="G665" i="7"/>
  <c r="H665" i="7" s="1"/>
  <c r="G664" i="7"/>
  <c r="H664" i="7" s="1"/>
  <c r="G663" i="7"/>
  <c r="H663" i="7" s="1"/>
  <c r="G662" i="7"/>
  <c r="G637" i="7"/>
  <c r="G635" i="7"/>
  <c r="G633" i="7"/>
  <c r="G632" i="7"/>
  <c r="G631" i="7"/>
  <c r="G630" i="7"/>
  <c r="G623" i="7"/>
  <c r="G622" i="7"/>
  <c r="G620" i="7"/>
  <c r="H620" i="7" s="1"/>
  <c r="G617" i="7"/>
  <c r="G616" i="7"/>
  <c r="G615" i="7"/>
  <c r="G614" i="7"/>
  <c r="G613" i="7"/>
  <c r="G612" i="7"/>
  <c r="H612" i="7" s="1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4" i="7"/>
  <c r="G583" i="7"/>
  <c r="G582" i="7"/>
  <c r="H582" i="7" s="1"/>
  <c r="G578" i="7"/>
  <c r="H578" i="7" s="1"/>
  <c r="G577" i="7"/>
  <c r="H577" i="7" s="1"/>
  <c r="G579" i="7"/>
  <c r="H579" i="7" s="1"/>
  <c r="G576" i="7"/>
  <c r="H576" i="7" s="1"/>
  <c r="G575" i="7"/>
  <c r="H575" i="7" s="1"/>
  <c r="G574" i="7"/>
  <c r="H574" i="7" s="1"/>
  <c r="G572" i="7"/>
  <c r="H572" i="7" s="1"/>
  <c r="G571" i="7"/>
  <c r="H571" i="7" s="1"/>
  <c r="G570" i="7"/>
  <c r="H570" i="7" s="1"/>
  <c r="G567" i="7"/>
  <c r="H567" i="7" s="1"/>
  <c r="G566" i="7"/>
  <c r="H566" i="7" s="1"/>
  <c r="G565" i="7"/>
  <c r="H565" i="7" s="1"/>
  <c r="G564" i="7"/>
  <c r="H564" i="7" s="1"/>
  <c r="G563" i="7"/>
  <c r="H563" i="7" s="1"/>
  <c r="G562" i="7"/>
  <c r="H562" i="7" s="1"/>
  <c r="G559" i="7"/>
  <c r="H559" i="7" s="1"/>
  <c r="G557" i="7"/>
  <c r="H557" i="7" s="1"/>
  <c r="G554" i="7"/>
  <c r="H554" i="7" s="1"/>
  <c r="G551" i="7"/>
  <c r="H551" i="7" s="1"/>
  <c r="G550" i="7"/>
  <c r="H550" i="7" s="1"/>
  <c r="G547" i="7"/>
  <c r="H547" i="7" s="1"/>
  <c r="G546" i="7"/>
  <c r="H546" i="7" s="1"/>
  <c r="G545" i="7"/>
  <c r="H545" i="7" s="1"/>
  <c r="G544" i="7"/>
  <c r="H544" i="7" s="1"/>
  <c r="G543" i="7"/>
  <c r="H543" i="7" s="1"/>
  <c r="G542" i="7"/>
  <c r="H542" i="7" s="1"/>
  <c r="G539" i="7"/>
  <c r="H539" i="7" s="1"/>
  <c r="G538" i="7"/>
  <c r="H538" i="7" s="1"/>
  <c r="G537" i="7"/>
  <c r="H537" i="7" s="1"/>
  <c r="G536" i="7"/>
  <c r="H536" i="7" s="1"/>
  <c r="G535" i="7"/>
  <c r="H535" i="7" s="1"/>
  <c r="G534" i="7"/>
  <c r="H534" i="7" s="1"/>
  <c r="G533" i="7"/>
  <c r="H533" i="7" s="1"/>
  <c r="G532" i="7"/>
  <c r="H532" i="7" s="1"/>
  <c r="G529" i="7"/>
  <c r="H529" i="7" s="1"/>
  <c r="G528" i="7"/>
  <c r="H528" i="7" s="1"/>
  <c r="G527" i="7"/>
  <c r="H527" i="7" s="1"/>
  <c r="G526" i="7"/>
  <c r="H526" i="7" s="1"/>
  <c r="G525" i="7"/>
  <c r="H525" i="7" s="1"/>
  <c r="G524" i="7"/>
  <c r="H524" i="7" s="1"/>
  <c r="G523" i="7"/>
  <c r="H523" i="7" s="1"/>
  <c r="G522" i="7"/>
  <c r="H522" i="7" s="1"/>
  <c r="G517" i="7"/>
  <c r="H517" i="7" s="1"/>
  <c r="G515" i="7"/>
  <c r="H515" i="7" s="1"/>
  <c r="G514" i="7"/>
  <c r="H514" i="7" s="1"/>
  <c r="G510" i="7"/>
  <c r="H510" i="7" s="1"/>
  <c r="G509" i="7"/>
  <c r="H509" i="7" s="1"/>
  <c r="G507" i="7"/>
  <c r="H507" i="7" s="1"/>
  <c r="G506" i="7"/>
  <c r="H506" i="7" s="1"/>
  <c r="G505" i="7"/>
  <c r="H505" i="7" s="1"/>
  <c r="G504" i="7"/>
  <c r="H504" i="7" s="1"/>
  <c r="G503" i="7"/>
  <c r="H503" i="7" s="1"/>
  <c r="G502" i="7"/>
  <c r="H502" i="7" s="1"/>
  <c r="G477" i="7"/>
  <c r="H477" i="7" s="1"/>
  <c r="G500" i="7"/>
  <c r="H500" i="7" s="1"/>
  <c r="G498" i="7"/>
  <c r="H498" i="7" s="1"/>
  <c r="G497" i="7"/>
  <c r="H497" i="7" s="1"/>
  <c r="G496" i="7"/>
  <c r="H496" i="7" s="1"/>
  <c r="G495" i="7"/>
  <c r="H495" i="7" s="1"/>
  <c r="G494" i="7"/>
  <c r="H494" i="7" s="1"/>
  <c r="G493" i="7"/>
  <c r="H493" i="7" s="1"/>
  <c r="G492" i="7"/>
  <c r="H492" i="7" s="1"/>
  <c r="G491" i="7"/>
  <c r="H491" i="7" s="1"/>
  <c r="G490" i="7"/>
  <c r="H490" i="7" s="1"/>
  <c r="G488" i="7"/>
  <c r="H488" i="7" s="1"/>
  <c r="G487" i="7"/>
  <c r="H487" i="7" s="1"/>
  <c r="G486" i="7"/>
  <c r="H486" i="7" s="1"/>
  <c r="G485" i="7"/>
  <c r="H485" i="7" s="1"/>
  <c r="G484" i="7"/>
  <c r="H484" i="7" s="1"/>
  <c r="G483" i="7"/>
  <c r="H483" i="7" s="1"/>
  <c r="G481" i="7"/>
  <c r="H481" i="7" s="1"/>
  <c r="G480" i="7"/>
  <c r="H480" i="7" s="1"/>
  <c r="G479" i="7"/>
  <c r="H479" i="7" s="1"/>
  <c r="G478" i="7"/>
  <c r="H478" i="7" s="1"/>
  <c r="G511" i="7"/>
  <c r="H511" i="7" s="1"/>
  <c r="G476" i="7"/>
  <c r="H476" i="7" s="1"/>
  <c r="G475" i="7"/>
  <c r="H475" i="7" s="1"/>
  <c r="G474" i="7"/>
  <c r="H474" i="7" s="1"/>
  <c r="G473" i="7"/>
  <c r="H473" i="7" s="1"/>
  <c r="G472" i="7"/>
  <c r="H472" i="7" s="1"/>
  <c r="G471" i="7"/>
  <c r="H471" i="7" s="1"/>
  <c r="G470" i="7"/>
  <c r="H470" i="7" s="1"/>
  <c r="G469" i="7"/>
  <c r="H469" i="7" s="1"/>
  <c r="G467" i="7"/>
  <c r="H467" i="7" s="1"/>
  <c r="G465" i="7"/>
  <c r="H465" i="7" s="1"/>
  <c r="G463" i="7"/>
  <c r="H463" i="7" s="1"/>
  <c r="G461" i="7"/>
  <c r="H461" i="7" s="1"/>
  <c r="G462" i="7"/>
  <c r="H462" i="7" s="1"/>
  <c r="G457" i="7"/>
  <c r="H457" i="7" s="1"/>
  <c r="G455" i="7"/>
  <c r="H455" i="7" s="1"/>
  <c r="G454" i="7"/>
  <c r="H454" i="7" s="1"/>
  <c r="G452" i="7"/>
  <c r="H452" i="7" s="1"/>
  <c r="G444" i="7"/>
  <c r="H444" i="7" s="1"/>
  <c r="G433" i="7"/>
  <c r="G431" i="7"/>
  <c r="G430" i="7"/>
  <c r="G428" i="7"/>
  <c r="H428" i="7" s="1"/>
  <c r="G424" i="7"/>
  <c r="G423" i="7"/>
  <c r="G422" i="7"/>
  <c r="G421" i="7"/>
  <c r="G420" i="7"/>
  <c r="G419" i="7"/>
  <c r="G418" i="7"/>
  <c r="G416" i="7"/>
  <c r="G415" i="7"/>
  <c r="G414" i="7"/>
  <c r="G413" i="7"/>
  <c r="G412" i="7"/>
  <c r="G411" i="7"/>
  <c r="G410" i="7"/>
  <c r="G405" i="7"/>
  <c r="H405" i="7" s="1"/>
  <c r="G404" i="7"/>
  <c r="H404" i="7" s="1"/>
  <c r="G399" i="7"/>
  <c r="H399" i="7" s="1"/>
  <c r="H400" i="7" s="1"/>
  <c r="G369" i="7"/>
  <c r="G362" i="7"/>
  <c r="G365" i="7"/>
  <c r="H365" i="7" s="1"/>
  <c r="G352" i="7"/>
  <c r="G350" i="7"/>
  <c r="G349" i="7"/>
  <c r="G348" i="7"/>
  <c r="G341" i="7"/>
  <c r="G340" i="7"/>
  <c r="G339" i="7"/>
  <c r="G330" i="7"/>
  <c r="G329" i="7"/>
  <c r="G328" i="7"/>
  <c r="G327" i="7"/>
  <c r="G326" i="7"/>
  <c r="G325" i="7"/>
  <c r="G312" i="7"/>
  <c r="G311" i="7"/>
  <c r="G310" i="7"/>
  <c r="G309" i="7"/>
  <c r="G308" i="7"/>
  <c r="G307" i="7"/>
  <c r="G306" i="7"/>
  <c r="G303" i="7"/>
  <c r="G302" i="7"/>
  <c r="G301" i="7"/>
  <c r="G300" i="7"/>
  <c r="G299" i="7"/>
  <c r="G298" i="7"/>
  <c r="G297" i="7"/>
  <c r="G296" i="7"/>
  <c r="G295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2" i="7"/>
  <c r="G271" i="7"/>
  <c r="G266" i="7"/>
  <c r="H266" i="7" s="1"/>
  <c r="H267" i="7" s="1"/>
  <c r="G261" i="7"/>
  <c r="G259" i="7"/>
  <c r="G253" i="7"/>
  <c r="G249" i="7"/>
  <c r="G251" i="7"/>
  <c r="G246" i="7"/>
  <c r="G245" i="7"/>
  <c r="G243" i="7"/>
  <c r="H243" i="7" s="1"/>
  <c r="G238" i="7"/>
  <c r="G235" i="7"/>
  <c r="G234" i="7"/>
  <c r="G233" i="7"/>
  <c r="G231" i="7"/>
  <c r="G229" i="7"/>
  <c r="G226" i="7"/>
  <c r="G225" i="7"/>
  <c r="G224" i="7"/>
  <c r="G223" i="7"/>
  <c r="G220" i="7"/>
  <c r="G217" i="7"/>
  <c r="G216" i="7"/>
  <c r="G215" i="7"/>
  <c r="G212" i="7"/>
  <c r="G211" i="7"/>
  <c r="G210" i="7"/>
  <c r="G209" i="7"/>
  <c r="G208" i="7"/>
  <c r="G203" i="7"/>
  <c r="G202" i="7"/>
  <c r="G201" i="7"/>
  <c r="G198" i="7"/>
  <c r="G197" i="7"/>
  <c r="G196" i="7"/>
  <c r="G193" i="7"/>
  <c r="G192" i="7"/>
  <c r="G191" i="7"/>
  <c r="G190" i="7"/>
  <c r="G187" i="7"/>
  <c r="G186" i="7"/>
  <c r="G185" i="7"/>
  <c r="G184" i="7"/>
  <c r="G182" i="7"/>
  <c r="G181" i="7"/>
  <c r="G180" i="7"/>
  <c r="G178" i="7"/>
  <c r="G177" i="7"/>
  <c r="G176" i="7"/>
  <c r="G175" i="7"/>
  <c r="G174" i="7"/>
  <c r="G173" i="7"/>
  <c r="G172" i="7"/>
  <c r="G168" i="7"/>
  <c r="G167" i="7"/>
  <c r="G162" i="7"/>
  <c r="G156" i="7"/>
  <c r="G429" i="7"/>
  <c r="G263" i="7"/>
  <c r="G153" i="7"/>
  <c r="G152" i="7"/>
  <c r="G439" i="7"/>
  <c r="G150" i="7"/>
  <c r="G149" i="7"/>
  <c r="G148" i="7"/>
  <c r="G147" i="7"/>
  <c r="G145" i="7"/>
  <c r="G142" i="7"/>
  <c r="G141" i="7"/>
  <c r="H141" i="7" s="1"/>
  <c r="G139" i="7"/>
  <c r="G135" i="7"/>
  <c r="G130" i="7"/>
  <c r="G128" i="7"/>
  <c r="G125" i="7"/>
  <c r="G124" i="7"/>
  <c r="G121" i="7"/>
  <c r="G120" i="7"/>
  <c r="G117" i="7"/>
  <c r="G114" i="7"/>
  <c r="G116" i="7"/>
  <c r="G115" i="7"/>
  <c r="G111" i="7"/>
  <c r="G110" i="7"/>
  <c r="G107" i="7"/>
  <c r="G106" i="7"/>
  <c r="G105" i="7"/>
  <c r="G104" i="7"/>
  <c r="G103" i="7"/>
  <c r="G102" i="7"/>
  <c r="G99" i="7"/>
  <c r="G98" i="7"/>
  <c r="G95" i="7"/>
  <c r="G96" i="7"/>
  <c r="G93" i="7"/>
  <c r="G92" i="7"/>
  <c r="G91" i="7"/>
  <c r="G85" i="7"/>
  <c r="G83" i="7"/>
  <c r="G82" i="7"/>
  <c r="G81" i="7"/>
  <c r="H81" i="7" s="1"/>
  <c r="G78" i="7"/>
  <c r="G77" i="7"/>
  <c r="G76" i="7"/>
  <c r="G75" i="7"/>
  <c r="G74" i="7"/>
  <c r="G70" i="7"/>
  <c r="G69" i="7"/>
  <c r="G68" i="7"/>
  <c r="G67" i="7"/>
  <c r="G66" i="7"/>
  <c r="G65" i="7"/>
  <c r="G64" i="7"/>
  <c r="G63" i="7"/>
  <c r="G62" i="7"/>
  <c r="G61" i="7"/>
  <c r="G58" i="7"/>
  <c r="H58" i="7" s="1"/>
  <c r="G57" i="7"/>
  <c r="H57" i="7" s="1"/>
  <c r="G56" i="7"/>
  <c r="H56" i="7" s="1"/>
  <c r="G55" i="7"/>
  <c r="H55" i="7" s="1"/>
  <c r="G54" i="7"/>
  <c r="H54" i="7" s="1"/>
  <c r="G53" i="7"/>
  <c r="G50" i="7"/>
  <c r="H50" i="7" s="1"/>
  <c r="G49" i="7"/>
  <c r="G48" i="7"/>
  <c r="H48" i="7" s="1"/>
  <c r="G47" i="7"/>
  <c r="H47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0" i="7"/>
  <c r="H30" i="7" s="1"/>
  <c r="G29" i="7"/>
  <c r="G23" i="7"/>
  <c r="H23" i="7" s="1"/>
  <c r="G20" i="7"/>
  <c r="H20" i="7" s="1"/>
  <c r="G19" i="7"/>
  <c r="H19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837" i="7" l="1"/>
  <c r="H795" i="7"/>
  <c r="H512" i="7"/>
  <c r="D72" i="9" s="1"/>
  <c r="C64" i="8" s="1"/>
  <c r="S64" i="8" s="1"/>
  <c r="T64" i="8" s="1"/>
  <c r="H407" i="7"/>
  <c r="D65" i="9" s="1"/>
  <c r="H520" i="7"/>
  <c r="D73" i="9" s="1"/>
  <c r="C65" i="8" s="1"/>
  <c r="U65" i="8" s="1"/>
  <c r="V65" i="8" s="1"/>
  <c r="H624" i="7"/>
  <c r="D83" i="9" s="1"/>
  <c r="C75" i="8" s="1"/>
  <c r="H458" i="7"/>
  <c r="D71" i="9" s="1"/>
  <c r="H530" i="7"/>
  <c r="D74" i="9" s="1"/>
  <c r="C66" i="8" s="1"/>
  <c r="S66" i="8" s="1"/>
  <c r="T66" i="8" s="1"/>
  <c r="H568" i="7"/>
  <c r="D79" i="9" s="1"/>
  <c r="C71" i="8" s="1"/>
  <c r="S71" i="8" s="1"/>
  <c r="T71" i="8" s="1"/>
  <c r="H580" i="7"/>
  <c r="D80" i="9" s="1"/>
  <c r="C72" i="8" s="1"/>
  <c r="U72" i="8" s="1"/>
  <c r="V72" i="8" s="1"/>
  <c r="D84" i="9"/>
  <c r="C76" i="8" s="1"/>
  <c r="U76" i="8" s="1"/>
  <c r="V76" i="8" s="1"/>
  <c r="H769" i="7"/>
  <c r="H773" i="7"/>
  <c r="H540" i="7"/>
  <c r="H548" i="7"/>
  <c r="D76" i="9" s="1"/>
  <c r="C68" i="8" s="1"/>
  <c r="S68" i="8" s="1"/>
  <c r="T68" i="8" s="1"/>
  <c r="H552" i="7"/>
  <c r="D77" i="9" s="1"/>
  <c r="C69" i="8" s="1"/>
  <c r="U69" i="8" s="1"/>
  <c r="V69" i="8" s="1"/>
  <c r="H560" i="7"/>
  <c r="D78" i="9" s="1"/>
  <c r="C70" i="8" s="1"/>
  <c r="U70" i="8" s="1"/>
  <c r="V70" i="8" s="1"/>
  <c r="H618" i="7"/>
  <c r="D82" i="9" s="1"/>
  <c r="C74" i="8" s="1"/>
  <c r="U74" i="8" s="1"/>
  <c r="V74" i="8" s="1"/>
  <c r="H761" i="7"/>
  <c r="D62" i="9"/>
  <c r="C56" i="8" s="1"/>
  <c r="W56" i="8" s="1"/>
  <c r="X56" i="8" s="1"/>
  <c r="C63" i="8" l="1"/>
  <c r="G63" i="8" s="1"/>
  <c r="H63" i="8" s="1"/>
  <c r="C58" i="8"/>
  <c r="W58" i="8" s="1"/>
  <c r="X58" i="8" s="1"/>
  <c r="H843" i="7"/>
  <c r="D45" i="9"/>
  <c r="C40" i="8" s="1"/>
  <c r="U40" i="8" s="1"/>
  <c r="V40" i="8" s="1"/>
  <c r="D75" i="9"/>
  <c r="C67" i="8" s="1"/>
  <c r="S67" i="8" s="1"/>
  <c r="T67" i="8" s="1"/>
  <c r="U75" i="8"/>
  <c r="V75" i="8" s="1"/>
  <c r="S75" i="8"/>
  <c r="T75" i="8" s="1"/>
  <c r="Q75" i="8"/>
  <c r="R75" i="8" s="1"/>
  <c r="H369" i="7" l="1"/>
  <c r="H380" i="7" s="1"/>
  <c r="H362" i="7" l="1"/>
  <c r="H366" i="7" s="1"/>
  <c r="D58" i="9" l="1"/>
  <c r="C52" i="8" s="1"/>
  <c r="H89" i="7"/>
  <c r="D21" i="9" l="1"/>
  <c r="C17" i="8" s="1"/>
  <c r="D59" i="9"/>
  <c r="C53" i="8" s="1"/>
  <c r="H223" i="7"/>
  <c r="H193" i="7"/>
  <c r="H192" i="7"/>
  <c r="H167" i="7" l="1"/>
  <c r="H169" i="7" s="1"/>
  <c r="H191" i="7"/>
  <c r="H208" i="7"/>
  <c r="H247" i="7" l="1"/>
  <c r="D42" i="9" s="1"/>
  <c r="C37" i="8" s="1"/>
  <c r="Q37" i="8" s="1"/>
  <c r="R37" i="8" s="1"/>
  <c r="D33" i="9"/>
  <c r="C28" i="8" l="1"/>
  <c r="E28" i="8" s="1"/>
  <c r="G28" i="8" l="1"/>
  <c r="H142" i="7"/>
  <c r="H139" i="7"/>
  <c r="H143" i="7" l="1"/>
  <c r="D28" i="9" s="1"/>
  <c r="C24" i="8" s="1"/>
  <c r="S24" i="8" s="1"/>
  <c r="H325" i="7"/>
  <c r="H348" i="7" l="1"/>
  <c r="H91" i="7"/>
  <c r="H100" i="7" l="1"/>
  <c r="D22" i="9" l="1"/>
  <c r="C18" i="8" s="1"/>
  <c r="H238" i="7"/>
  <c r="H241" i="7" s="1"/>
  <c r="H215" i="7"/>
  <c r="H221" i="7" s="1"/>
  <c r="E224" i="7"/>
  <c r="H227" i="7" s="1"/>
  <c r="D41" i="9" l="1"/>
  <c r="C36" i="8" s="1"/>
  <c r="S36" i="8" s="1"/>
  <c r="T36" i="8" s="1"/>
  <c r="D39" i="9"/>
  <c r="C34" i="8" s="1"/>
  <c r="Q34" i="8" s="1"/>
  <c r="R34" i="8" s="1"/>
  <c r="D38" i="9"/>
  <c r="C33" i="8" s="1"/>
  <c r="H249" i="7"/>
  <c r="H229" i="7"/>
  <c r="H353" i="7"/>
  <c r="H236" i="7" l="1"/>
  <c r="D40" i="9" s="1"/>
  <c r="C35" i="8" s="1"/>
  <c r="S35" i="8" s="1"/>
  <c r="T35" i="8" s="1"/>
  <c r="H256" i="7"/>
  <c r="M33" i="8"/>
  <c r="N33" i="8" s="1"/>
  <c r="O33" i="8"/>
  <c r="P33" i="8" s="1"/>
  <c r="D56" i="9"/>
  <c r="C50" i="8" l="1"/>
  <c r="D43" i="9"/>
  <c r="C38" i="8" s="1"/>
  <c r="S38" i="8" s="1"/>
  <c r="T38" i="8" s="1"/>
  <c r="H120" i="7"/>
  <c r="H125" i="7" l="1"/>
  <c r="H124" i="7"/>
  <c r="H332" i="7" l="1"/>
  <c r="D53" i="9" s="1"/>
  <c r="C47" i="8" s="1"/>
  <c r="H130" i="7"/>
  <c r="H128" i="7"/>
  <c r="H102" i="7"/>
  <c r="H108" i="7" s="1"/>
  <c r="H133" i="7" l="1"/>
  <c r="D23" i="9"/>
  <c r="C19" i="8" s="1"/>
  <c r="H110" i="7"/>
  <c r="H118" i="7" l="1"/>
  <c r="D24" i="9" s="1"/>
  <c r="C20" i="8" s="1"/>
  <c r="H213" i="7"/>
  <c r="D37" i="9" l="1"/>
  <c r="C32" i="8" s="1"/>
  <c r="M32" i="8" s="1"/>
  <c r="N32" i="8" s="1"/>
  <c r="H426" i="7" l="1"/>
  <c r="D66" i="9" s="1"/>
  <c r="C59" i="8" l="1"/>
  <c r="S59" i="8" s="1"/>
  <c r="T59" i="8" s="1"/>
  <c r="H275" i="7"/>
  <c r="H271" i="7"/>
  <c r="E340" i="7" l="1"/>
  <c r="H339" i="7"/>
  <c r="H295" i="7"/>
  <c r="H306" i="7"/>
  <c r="H273" i="7"/>
  <c r="H319" i="7"/>
  <c r="H323" i="7" s="1"/>
  <c r="H346" i="7" l="1"/>
  <c r="H315" i="7"/>
  <c r="D51" i="9" s="1"/>
  <c r="C45" i="8" s="1"/>
  <c r="H304" i="7"/>
  <c r="D50" i="9" s="1"/>
  <c r="C44" i="8" s="1"/>
  <c r="D52" i="9"/>
  <c r="C46" i="8" s="1"/>
  <c r="E291" i="7"/>
  <c r="H196" i="7"/>
  <c r="H190" i="7"/>
  <c r="H194" i="7" s="1"/>
  <c r="E186" i="7"/>
  <c r="H188" i="7" l="1"/>
  <c r="H206" i="7"/>
  <c r="H293" i="7"/>
  <c r="D48" i="9"/>
  <c r="O46" i="8"/>
  <c r="P46" i="8" s="1"/>
  <c r="M46" i="8"/>
  <c r="N46" i="8" s="1"/>
  <c r="D35" i="9"/>
  <c r="C30" i="8" s="1"/>
  <c r="D55" i="9"/>
  <c r="C49" i="8" s="1"/>
  <c r="S49" i="8" s="1"/>
  <c r="T49" i="8" s="1"/>
  <c r="M45" i="8"/>
  <c r="N45" i="8" s="1"/>
  <c r="K45" i="8"/>
  <c r="L45" i="8" s="1"/>
  <c r="I45" i="8"/>
  <c r="J45" i="8" s="1"/>
  <c r="K44" i="8"/>
  <c r="L44" i="8" s="1"/>
  <c r="I44" i="8"/>
  <c r="J44" i="8" s="1"/>
  <c r="C42" i="8" l="1"/>
  <c r="D34" i="9"/>
  <c r="D36" i="9"/>
  <c r="C31" i="8" s="1"/>
  <c r="M31" i="8" s="1"/>
  <c r="N31" i="8" s="1"/>
  <c r="I30" i="8"/>
  <c r="J30" i="8" s="1"/>
  <c r="K30" i="8"/>
  <c r="L30" i="8" s="1"/>
  <c r="Q49" i="8"/>
  <c r="R49" i="8" s="1"/>
  <c r="D49" i="9"/>
  <c r="C43" i="8" s="1"/>
  <c r="E42" i="8" l="1"/>
  <c r="G42" i="8"/>
  <c r="C29" i="8"/>
  <c r="K31" i="8"/>
  <c r="L31" i="8" s="1"/>
  <c r="I43" i="8"/>
  <c r="J43" i="8" s="1"/>
  <c r="G43" i="8"/>
  <c r="H43" i="8" s="1"/>
  <c r="H61" i="7"/>
  <c r="H76" i="7"/>
  <c r="I29" i="8" l="1"/>
  <c r="J29" i="8" s="1"/>
  <c r="G29" i="8"/>
  <c r="H29" i="8" s="1"/>
  <c r="H29" i="7"/>
  <c r="H31" i="7" s="1"/>
  <c r="H75" i="7"/>
  <c r="H72" i="7"/>
  <c r="H74" i="7"/>
  <c r="D19" i="9" l="1"/>
  <c r="C15" i="8" s="1"/>
  <c r="D16" i="9"/>
  <c r="H78" i="7"/>
  <c r="H77" i="7"/>
  <c r="H53" i="7"/>
  <c r="H59" i="7" s="1"/>
  <c r="C12" i="8" l="1"/>
  <c r="F28" i="8" s="1"/>
  <c r="H79" i="7"/>
  <c r="D20" i="9" s="1"/>
  <c r="C16" i="8" s="1"/>
  <c r="D18" i="9"/>
  <c r="C14" i="8" s="1"/>
  <c r="E49" i="7"/>
  <c r="H49" i="7" s="1"/>
  <c r="H51" i="7" l="1"/>
  <c r="D17" i="9" s="1"/>
  <c r="E12" i="8"/>
  <c r="H28" i="8"/>
  <c r="F42" i="8"/>
  <c r="H42" i="8"/>
  <c r="G12" i="8"/>
  <c r="M16" i="8"/>
  <c r="K16" i="8"/>
  <c r="K14" i="8"/>
  <c r="L14" i="8" s="1"/>
  <c r="I14" i="8"/>
  <c r="J14" i="8" s="1"/>
  <c r="C13" i="8" l="1"/>
  <c r="I13" i="8" s="1"/>
  <c r="J13" i="8" s="1"/>
  <c r="G13" i="8" l="1"/>
  <c r="B5" i="9"/>
  <c r="A81" i="8" l="1"/>
  <c r="A42" i="8"/>
  <c r="H610" i="7" l="1"/>
  <c r="H644" i="7" s="1"/>
  <c r="D81" i="9" l="1"/>
  <c r="D26" i="9"/>
  <c r="C22" i="8" s="1"/>
  <c r="C73" i="8" l="1"/>
  <c r="U73" i="8" s="1"/>
  <c r="V73" i="8" s="1"/>
  <c r="D85" i="9"/>
  <c r="S73" i="8" l="1"/>
  <c r="T73" i="8" s="1"/>
  <c r="H662" i="7"/>
  <c r="H730" i="7" s="1"/>
  <c r="H762" i="7" l="1"/>
  <c r="Q52" i="8"/>
  <c r="R52" i="8" s="1"/>
  <c r="M47" i="8"/>
  <c r="N47" i="8" s="1"/>
  <c r="U53" i="8"/>
  <c r="U50" i="8"/>
  <c r="O47" i="8" l="1"/>
  <c r="P47" i="8" s="1"/>
  <c r="K47" i="8"/>
  <c r="L47" i="8" s="1"/>
  <c r="V53" i="8"/>
  <c r="S50" i="8"/>
  <c r="T50" i="8" s="1"/>
  <c r="V50" i="8"/>
  <c r="H121" i="7" l="1"/>
  <c r="H122" i="7" s="1"/>
  <c r="A83" i="8" l="1"/>
  <c r="A82" i="8"/>
  <c r="A80" i="8"/>
  <c r="A79" i="8"/>
  <c r="B97" i="9" l="1"/>
  <c r="B86" i="8" s="1"/>
  <c r="B96" i="9"/>
  <c r="B85" i="8" s="1"/>
  <c r="B95" i="9"/>
  <c r="B84" i="8" s="1"/>
  <c r="B94" i="9"/>
  <c r="B83" i="8" s="1"/>
  <c r="D91" i="9" l="1"/>
  <c r="C81" i="8" s="1"/>
  <c r="W81" i="8" l="1"/>
  <c r="X81" i="8" s="1"/>
  <c r="S81" i="8" l="1"/>
  <c r="T81" i="8" s="1"/>
  <c r="O81" i="8"/>
  <c r="P81" i="8" s="1"/>
  <c r="U81" i="8"/>
  <c r="V81" i="8" s="1"/>
  <c r="Q81" i="8"/>
  <c r="R81" i="8" s="1"/>
  <c r="H264" i="7" l="1"/>
  <c r="D44" i="9" l="1"/>
  <c r="H268" i="7"/>
  <c r="Q20" i="8"/>
  <c r="R20" i="8" s="1"/>
  <c r="O20" i="8"/>
  <c r="C39" i="8" l="1"/>
  <c r="U39" i="8" s="1"/>
  <c r="V39" i="8" s="1"/>
  <c r="D46" i="9"/>
  <c r="P20" i="8"/>
  <c r="H397" i="7" l="1"/>
  <c r="H401" i="7" s="1"/>
  <c r="D61" i="9" l="1"/>
  <c r="D63" i="9" s="1"/>
  <c r="C55" i="8" l="1"/>
  <c r="W55" i="8" s="1"/>
  <c r="X55" i="8" s="1"/>
  <c r="H437" i="7" l="1"/>
  <c r="D67" i="9" l="1"/>
  <c r="C60" i="8" l="1"/>
  <c r="W60" i="8" s="1"/>
  <c r="X60" i="8" s="1"/>
  <c r="U60" i="8" l="1"/>
  <c r="V60" i="8" s="1"/>
  <c r="H135" i="7" l="1"/>
  <c r="H137" i="7" s="1"/>
  <c r="L16" i="8" l="1"/>
  <c r="A28" i="8" l="1"/>
  <c r="B98" i="9" l="1"/>
  <c r="B87" i="8" s="1"/>
  <c r="B91" i="9"/>
  <c r="B81" i="8" s="1"/>
  <c r="B90" i="9"/>
  <c r="B80" i="8" l="1"/>
  <c r="B1" i="9" l="1"/>
  <c r="D98" i="9" l="1"/>
  <c r="C87" i="8" s="1"/>
  <c r="W87" i="8" l="1"/>
  <c r="X87" i="8" s="1"/>
  <c r="D96" i="9"/>
  <c r="C85" i="8" s="1"/>
  <c r="D97" i="9"/>
  <c r="C86" i="8" s="1"/>
  <c r="D95" i="9"/>
  <c r="C84" i="8" s="1"/>
  <c r="D94" i="9"/>
  <c r="D99" i="9" l="1"/>
  <c r="C83" i="8"/>
  <c r="W83" i="8" s="1"/>
  <c r="U87" i="8"/>
  <c r="V87" i="8" s="1"/>
  <c r="Q86" i="8"/>
  <c r="R86" i="8" s="1"/>
  <c r="W84" i="8"/>
  <c r="X84" i="8" s="1"/>
  <c r="W85" i="8"/>
  <c r="X85" i="8" s="1"/>
  <c r="X83" i="8" l="1"/>
  <c r="S86" i="8"/>
  <c r="T86" i="8" s="1"/>
  <c r="U86" i="8"/>
  <c r="V86" i="8" s="1"/>
  <c r="Q85" i="8"/>
  <c r="W86" i="8"/>
  <c r="X86" i="8" s="1"/>
  <c r="U85" i="8"/>
  <c r="S85" i="8"/>
  <c r="T85" i="8" l="1"/>
  <c r="V85" i="8"/>
  <c r="R85" i="8"/>
  <c r="H439" i="7" l="1"/>
  <c r="H440" i="7" s="1"/>
  <c r="H441" i="7" s="1"/>
  <c r="H145" i="7"/>
  <c r="D68" i="9" l="1"/>
  <c r="C61" i="8" l="1"/>
  <c r="W61" i="8" s="1"/>
  <c r="X61" i="8" s="1"/>
  <c r="D69" i="9"/>
  <c r="D90" i="9"/>
  <c r="C80" i="8" l="1"/>
  <c r="U80" i="8" s="1"/>
  <c r="V80" i="8" s="1"/>
  <c r="D92" i="9"/>
  <c r="S80" i="8" l="1"/>
  <c r="T80" i="8" s="1"/>
  <c r="Q80" i="8"/>
  <c r="R80" i="8" s="1"/>
  <c r="O80" i="8"/>
  <c r="P80" i="8" s="1"/>
  <c r="O17" i="8" l="1"/>
  <c r="P17" i="8" s="1"/>
  <c r="H12" i="7" l="1"/>
  <c r="H25" i="7" s="1"/>
  <c r="H162" i="7" l="1"/>
  <c r="H163" i="7" s="1"/>
  <c r="D27" i="9" l="1"/>
  <c r="C23" i="8" s="1"/>
  <c r="S23" i="8" s="1"/>
  <c r="Q18" i="8"/>
  <c r="H158" i="7" l="1"/>
  <c r="H164" i="7" s="1"/>
  <c r="D25" i="9"/>
  <c r="D30" i="9"/>
  <c r="C26" i="8" s="1"/>
  <c r="U26" i="8" s="1"/>
  <c r="V26" i="8" s="1"/>
  <c r="R18" i="8"/>
  <c r="C21" i="8" l="1"/>
  <c r="S21" i="8" s="1"/>
  <c r="T21" i="8" s="1"/>
  <c r="D13" i="9"/>
  <c r="C10" i="8" s="1"/>
  <c r="E10" i="8" s="1"/>
  <c r="F10" i="8" s="1"/>
  <c r="D29" i="9"/>
  <c r="C25" i="8" s="1"/>
  <c r="U25" i="8" s="1"/>
  <c r="N16" i="8"/>
  <c r="Q21" i="8" l="1"/>
  <c r="R21" i="8" s="1"/>
  <c r="D31" i="9"/>
  <c r="T24" i="8"/>
  <c r="B3" i="9"/>
  <c r="B2" i="9"/>
  <c r="B6" i="9"/>
  <c r="R2" i="8" l="1"/>
  <c r="B3" i="8"/>
  <c r="B2" i="8"/>
  <c r="B1" i="8"/>
  <c r="V25" i="8" l="1"/>
  <c r="H9" i="7"/>
  <c r="H10" i="7" s="1"/>
  <c r="H26" i="7" l="1"/>
  <c r="H844" i="7" s="1"/>
  <c r="D12" i="9"/>
  <c r="C9" i="8" s="1"/>
  <c r="C88" i="8" s="1"/>
  <c r="D54" i="8" s="1"/>
  <c r="O19" i="8"/>
  <c r="Q19" i="8"/>
  <c r="D48" i="8" l="1"/>
  <c r="D51" i="8"/>
  <c r="O9" i="8"/>
  <c r="O88" i="8" s="1"/>
  <c r="G9" i="8"/>
  <c r="G88" i="8" s="1"/>
  <c r="Q9" i="8"/>
  <c r="M9" i="8"/>
  <c r="W9" i="8"/>
  <c r="W88" i="8" s="1"/>
  <c r="K9" i="8"/>
  <c r="U9" i="8"/>
  <c r="U88" i="8" s="1"/>
  <c r="S9" i="8"/>
  <c r="I9" i="8"/>
  <c r="E9" i="8"/>
  <c r="D14" i="9"/>
  <c r="R19" i="8"/>
  <c r="P19" i="8"/>
  <c r="D100" i="9" l="1"/>
  <c r="D5" i="9" s="1"/>
  <c r="F9" i="8"/>
  <c r="E88" i="8"/>
  <c r="F88" i="8" s="1"/>
  <c r="D35" i="8"/>
  <c r="D46" i="8"/>
  <c r="D59" i="8"/>
  <c r="D61" i="8"/>
  <c r="D24" i="8"/>
  <c r="D83" i="8"/>
  <c r="D38" i="8"/>
  <c r="D76" i="8"/>
  <c r="D75" i="8"/>
  <c r="D47" i="8"/>
  <c r="D19" i="8"/>
  <c r="D60" i="8"/>
  <c r="D56" i="8"/>
  <c r="D85" i="8"/>
  <c r="L9" i="8"/>
  <c r="D25" i="8"/>
  <c r="D53" i="8"/>
  <c r="D33" i="8"/>
  <c r="D43" i="8"/>
  <c r="D87" i="8"/>
  <c r="D64" i="8"/>
  <c r="D28" i="8"/>
  <c r="D44" i="8"/>
  <c r="D58" i="8"/>
  <c r="X9" i="8"/>
  <c r="X88" i="8"/>
  <c r="D55" i="8"/>
  <c r="D15" i="8"/>
  <c r="T9" i="8"/>
  <c r="D67" i="8"/>
  <c r="D78" i="8"/>
  <c r="V9" i="8"/>
  <c r="V88" i="8"/>
  <c r="D10" i="8"/>
  <c r="D73" i="8"/>
  <c r="D18" i="8"/>
  <c r="D50" i="8"/>
  <c r="D13" i="8"/>
  <c r="D21" i="8"/>
  <c r="D70" i="8"/>
  <c r="D26" i="8"/>
  <c r="D32" i="8"/>
  <c r="D12" i="8"/>
  <c r="D86" i="8"/>
  <c r="D72" i="8"/>
  <c r="D65" i="8"/>
  <c r="D29" i="8"/>
  <c r="D66" i="8"/>
  <c r="H9" i="8"/>
  <c r="H88" i="8"/>
  <c r="D45" i="8"/>
  <c r="D80" i="8"/>
  <c r="D31" i="8"/>
  <c r="D81" i="8"/>
  <c r="D40" i="8"/>
  <c r="D74" i="8"/>
  <c r="D52" i="8"/>
  <c r="D71" i="8"/>
  <c r="D69" i="8"/>
  <c r="D84" i="8"/>
  <c r="D42" i="8"/>
  <c r="N9" i="8"/>
  <c r="D37" i="8"/>
  <c r="D17" i="8"/>
  <c r="D30" i="8"/>
  <c r="D49" i="8"/>
  <c r="D16" i="8"/>
  <c r="D63" i="8"/>
  <c r="D39" i="8"/>
  <c r="R9" i="8"/>
  <c r="D23" i="8"/>
  <c r="D36" i="8"/>
  <c r="D68" i="8"/>
  <c r="D14" i="8"/>
  <c r="D20" i="8"/>
  <c r="D34" i="8"/>
  <c r="D22" i="8"/>
  <c r="J9" i="8"/>
  <c r="P9" i="8"/>
  <c r="P88" i="8"/>
  <c r="F12" i="8"/>
  <c r="H12" i="8"/>
  <c r="H13" i="8"/>
  <c r="C60" i="9" l="1"/>
  <c r="C45" i="9"/>
  <c r="C50" i="9"/>
  <c r="C13" i="9"/>
  <c r="C59" i="9"/>
  <c r="C67" i="9"/>
  <c r="C56" i="9"/>
  <c r="C77" i="9"/>
  <c r="C94" i="9"/>
  <c r="C34" i="9"/>
  <c r="C37" i="9"/>
  <c r="C38" i="9"/>
  <c r="C83" i="9"/>
  <c r="C71" i="9"/>
  <c r="C68" i="9"/>
  <c r="C97" i="9"/>
  <c r="C81" i="9"/>
  <c r="C35" i="9"/>
  <c r="C48" i="9"/>
  <c r="C40" i="9"/>
  <c r="C41" i="9"/>
  <c r="C33" i="9"/>
  <c r="C75" i="9"/>
  <c r="C78" i="9"/>
  <c r="C72" i="9"/>
  <c r="C84" i="9"/>
  <c r="C87" i="9"/>
  <c r="C90" i="9"/>
  <c r="C96" i="9"/>
  <c r="C95" i="9"/>
  <c r="C98" i="9"/>
  <c r="C91" i="9"/>
  <c r="C49" i="9"/>
  <c r="C36" i="9"/>
  <c r="C55" i="9"/>
  <c r="C51" i="9"/>
  <c r="C66" i="9"/>
  <c r="C53" i="9"/>
  <c r="C43" i="9"/>
  <c r="C44" i="9"/>
  <c r="C39" i="9"/>
  <c r="C42" i="9"/>
  <c r="C58" i="9"/>
  <c r="C82" i="9"/>
  <c r="C73" i="9"/>
  <c r="C79" i="9"/>
  <c r="C61" i="9"/>
  <c r="C76" i="9"/>
  <c r="C80" i="9"/>
  <c r="C65" i="9"/>
  <c r="C74" i="9"/>
  <c r="C62" i="9"/>
  <c r="C12" i="9"/>
  <c r="C52" i="9"/>
  <c r="C57" i="9"/>
  <c r="C54" i="9"/>
  <c r="T23" i="8"/>
  <c r="M15" i="8" l="1"/>
  <c r="M88" i="8" l="1"/>
  <c r="N88" i="8" s="1"/>
  <c r="N15" i="8"/>
  <c r="K15" i="8"/>
  <c r="I15" i="8"/>
  <c r="I88" i="8" l="1"/>
  <c r="J88" i="8" s="1"/>
  <c r="K88" i="8"/>
  <c r="L88" i="8" s="1"/>
  <c r="L15" i="8"/>
  <c r="J15" i="8"/>
  <c r="C28" i="9" l="1"/>
  <c r="C27" i="9"/>
  <c r="C19" i="9"/>
  <c r="C23" i="9"/>
  <c r="C16" i="9"/>
  <c r="C24" i="9"/>
  <c r="C18" i="9"/>
  <c r="C20" i="9"/>
  <c r="C17" i="9"/>
  <c r="C25" i="9"/>
  <c r="C30" i="9"/>
  <c r="C21" i="9"/>
  <c r="C22" i="9"/>
  <c r="C29" i="9"/>
  <c r="C26" i="9"/>
  <c r="D9" i="8" l="1"/>
  <c r="D88" i="8" s="1"/>
  <c r="C100" i="9"/>
  <c r="Q22" i="8"/>
  <c r="S22" i="8"/>
  <c r="Q88" i="8" l="1"/>
  <c r="R88" i="8" s="1"/>
  <c r="S88" i="8"/>
  <c r="T88" i="8" s="1"/>
  <c r="R22" i="8"/>
  <c r="T22" i="8"/>
</calcChain>
</file>

<file path=xl/sharedStrings.xml><?xml version="1.0" encoding="utf-8"?>
<sst xmlns="http://schemas.openxmlformats.org/spreadsheetml/2006/main" count="16494" uniqueCount="4954">
  <si>
    <t>ITEM</t>
  </si>
  <si>
    <t>DESCRIÇÃO</t>
  </si>
  <si>
    <t>OBRA</t>
  </si>
  <si>
    <t>%</t>
  </si>
  <si>
    <t>CÓDIGO</t>
  </si>
  <si>
    <t>UND</t>
  </si>
  <si>
    <t>QNT</t>
  </si>
  <si>
    <t>P. UNT</t>
  </si>
  <si>
    <t>P. TOTAL</t>
  </si>
  <si>
    <t>SERVIÇOS  PRELIMINARES</t>
  </si>
  <si>
    <t>M²</t>
  </si>
  <si>
    <t>PISOS</t>
  </si>
  <si>
    <t>PINTURA</t>
  </si>
  <si>
    <t>LIMPEZA</t>
  </si>
  <si>
    <t>TOTAL DO ITEM</t>
  </si>
  <si>
    <t>1.0</t>
  </si>
  <si>
    <t>1.1</t>
  </si>
  <si>
    <t>2.0</t>
  </si>
  <si>
    <t>2.1</t>
  </si>
  <si>
    <t>2.2</t>
  </si>
  <si>
    <t>3.0</t>
  </si>
  <si>
    <t>3.1</t>
  </si>
  <si>
    <t>3.2</t>
  </si>
  <si>
    <t>4.0</t>
  </si>
  <si>
    <t>4.1</t>
  </si>
  <si>
    <t>4.2</t>
  </si>
  <si>
    <t>4.3</t>
  </si>
  <si>
    <t>4.4</t>
  </si>
  <si>
    <t>4.5</t>
  </si>
  <si>
    <t>5.0</t>
  </si>
  <si>
    <t>5.1</t>
  </si>
  <si>
    <t>5.2</t>
  </si>
  <si>
    <t>6.0</t>
  </si>
  <si>
    <t>6.1</t>
  </si>
  <si>
    <t>BDI:</t>
  </si>
  <si>
    <t>PREÇO GLOBAL</t>
  </si>
  <si>
    <t>PLANILHA ORÇAMENTÁRIA</t>
  </si>
  <si>
    <t>VALOR</t>
  </si>
  <si>
    <t>MÊS 01</t>
  </si>
  <si>
    <t>VALOR (R$)</t>
  </si>
  <si>
    <t>MÊS 02</t>
  </si>
  <si>
    <t>MÊS 03</t>
  </si>
  <si>
    <t>MÊS 04</t>
  </si>
  <si>
    <t>TOTAL</t>
  </si>
  <si>
    <t>Município</t>
  </si>
  <si>
    <t>Endereço</t>
  </si>
  <si>
    <t>Referência:</t>
  </si>
  <si>
    <t>Custo por m²:</t>
  </si>
  <si>
    <t>PLANILHA RESUMO</t>
  </si>
  <si>
    <t>P. BASE</t>
  </si>
  <si>
    <t>4.6</t>
  </si>
  <si>
    <t>4.7</t>
  </si>
  <si>
    <t>4.8</t>
  </si>
  <si>
    <t>4.9</t>
  </si>
  <si>
    <t>4.10</t>
  </si>
  <si>
    <t>URBANIZAÇÃO E PAISAGISMO</t>
  </si>
  <si>
    <t>UN</t>
  </si>
  <si>
    <t>SERVIÇOS TÉCNICOS - PROJETOS</t>
  </si>
  <si>
    <t>SERVIÇOS PRELIMINARES</t>
  </si>
  <si>
    <t>Item</t>
  </si>
  <si>
    <t>Serviços</t>
  </si>
  <si>
    <t>Memória Cálculo</t>
  </si>
  <si>
    <t>Un</t>
  </si>
  <si>
    <t>Quant.</t>
  </si>
  <si>
    <t>ok</t>
  </si>
  <si>
    <t>LIMPEZA DA OBRA</t>
  </si>
  <si>
    <t>Limpeza Geral</t>
  </si>
  <si>
    <t>ADMINISTRAÇÃO DE OBRA</t>
  </si>
  <si>
    <t>Fornecimento e instalação de placa de obra, padrão Governo de Mato Grosso, tamanho 5,00x2,50m</t>
  </si>
  <si>
    <t>Und</t>
  </si>
  <si>
    <t>Limpeza mecanizada de terreno com remoção de camada vegetal, utilizando motoniveladora</t>
  </si>
  <si>
    <t>73822/002</t>
  </si>
  <si>
    <t>m2</t>
  </si>
  <si>
    <t>Locação de obra, execução de gabarito</t>
  </si>
  <si>
    <t>COBERTURA</t>
  </si>
  <si>
    <t>m</t>
  </si>
  <si>
    <t>2.3</t>
  </si>
  <si>
    <t>2.4</t>
  </si>
  <si>
    <t>ESQUADRIAS</t>
  </si>
  <si>
    <t>SDC01002</t>
  </si>
  <si>
    <t>REVESTIMENTO</t>
  </si>
  <si>
    <t>SERVIÇOS COMPLEMENTARES</t>
  </si>
  <si>
    <t>2.5</t>
  </si>
  <si>
    <t>5.3</t>
  </si>
  <si>
    <t>5.4</t>
  </si>
  <si>
    <t>5.5</t>
  </si>
  <si>
    <t>5.6</t>
  </si>
  <si>
    <t>FORROS E DIVISÓRIAS</t>
  </si>
  <si>
    <t>Administração de Obra</t>
  </si>
  <si>
    <t>mês</t>
  </si>
  <si>
    <t>2.6</t>
  </si>
  <si>
    <t>2.7</t>
  </si>
  <si>
    <t>KG</t>
  </si>
  <si>
    <t>ELEMENTOS DE VEDAÇÃO</t>
  </si>
  <si>
    <t>7.1</t>
  </si>
  <si>
    <t>7.2</t>
  </si>
  <si>
    <t>Telha Isotérmica</t>
  </si>
  <si>
    <t>7.3</t>
  </si>
  <si>
    <t>7.4</t>
  </si>
  <si>
    <t>M</t>
  </si>
  <si>
    <t>8.1</t>
  </si>
  <si>
    <t>8.2</t>
  </si>
  <si>
    <t>8.3</t>
  </si>
  <si>
    <t>8.4</t>
  </si>
  <si>
    <t>8.5</t>
  </si>
  <si>
    <t>8.6</t>
  </si>
  <si>
    <t>m²</t>
  </si>
  <si>
    <t>REVESTIMENTOS</t>
  </si>
  <si>
    <t>9.1</t>
  </si>
  <si>
    <t>Chapisco</t>
  </si>
  <si>
    <t>9.2</t>
  </si>
  <si>
    <t>9.3</t>
  </si>
  <si>
    <t>10.1</t>
  </si>
  <si>
    <t xml:space="preserve">porcelanato </t>
  </si>
  <si>
    <t>11.1</t>
  </si>
  <si>
    <t>12.1</t>
  </si>
  <si>
    <t>12.2</t>
  </si>
  <si>
    <t>13.1</t>
  </si>
  <si>
    <t>Quadro Novo</t>
  </si>
  <si>
    <t>13.2</t>
  </si>
  <si>
    <t>14.1</t>
  </si>
  <si>
    <t>Espelho</t>
  </si>
  <si>
    <t>6.2</t>
  </si>
  <si>
    <t>6.3</t>
  </si>
  <si>
    <t>7.0</t>
  </si>
  <si>
    <t>7.5</t>
  </si>
  <si>
    <t>m3</t>
  </si>
  <si>
    <t>9.4</t>
  </si>
  <si>
    <t>9.5</t>
  </si>
  <si>
    <t>9.6</t>
  </si>
  <si>
    <t>10.2</t>
  </si>
  <si>
    <t>11.2</t>
  </si>
  <si>
    <t>11.3</t>
  </si>
  <si>
    <t>11.4</t>
  </si>
  <si>
    <t>1 unidade</t>
  </si>
  <si>
    <t>15.1</t>
  </si>
  <si>
    <t>ACESSIBILIDADE</t>
  </si>
  <si>
    <t>Mapa</t>
  </si>
  <si>
    <t>8.0</t>
  </si>
  <si>
    <t>9.0</t>
  </si>
  <si>
    <t>10.0</t>
  </si>
  <si>
    <t>13.0</t>
  </si>
  <si>
    <t>13.3</t>
  </si>
  <si>
    <t>13.4</t>
  </si>
  <si>
    <t>13.5</t>
  </si>
  <si>
    <t>14.0</t>
  </si>
  <si>
    <t>11.5</t>
  </si>
  <si>
    <t>Ligação de Água</t>
  </si>
  <si>
    <t>Ligação Elétrica</t>
  </si>
  <si>
    <t>Plan. Orçamentária</t>
  </si>
  <si>
    <t>Divisorias de granito banheiros</t>
  </si>
  <si>
    <t>FORMA PARA FUNDAÇÃO (m2)</t>
  </si>
  <si>
    <t>74106/001</t>
  </si>
  <si>
    <t>CONTRAPISO ARMADO</t>
  </si>
  <si>
    <t>-</t>
  </si>
  <si>
    <t>74005/002</t>
  </si>
  <si>
    <t>FUNDAÇÃO</t>
  </si>
  <si>
    <t>MESO ESTRUTURA</t>
  </si>
  <si>
    <t>SUPER ESTRUTURA</t>
  </si>
  <si>
    <t>M2</t>
  </si>
  <si>
    <t>M3</t>
  </si>
  <si>
    <t>74130/005</t>
  </si>
  <si>
    <t>74131/006</t>
  </si>
  <si>
    <t>SPDA - SISTEMA DE PROTEÇÃO CONTRA DESCARGA ATMOSFERICAS</t>
  </si>
  <si>
    <t>18.0</t>
  </si>
  <si>
    <t>19.0</t>
  </si>
  <si>
    <t>INSTALAÇÕES ELÉTRICAS E SPDA</t>
  </si>
  <si>
    <t>TOTAL INSTALAÇÕES ELETRICAS E SPDA</t>
  </si>
  <si>
    <t>20.0</t>
  </si>
  <si>
    <t>31.0</t>
  </si>
  <si>
    <t>32.0</t>
  </si>
  <si>
    <t>33.0</t>
  </si>
  <si>
    <t>34.0</t>
  </si>
  <si>
    <t>35.0</t>
  </si>
  <si>
    <t>36.0</t>
  </si>
  <si>
    <t>37.0</t>
  </si>
  <si>
    <t>38.0</t>
  </si>
  <si>
    <t>39.0</t>
  </si>
  <si>
    <t>40.0</t>
  </si>
  <si>
    <t>13.6</t>
  </si>
  <si>
    <t>Mastro para bandeira</t>
  </si>
  <si>
    <t>Totem</t>
  </si>
  <si>
    <t>Bicicletario</t>
  </si>
  <si>
    <t>13.7</t>
  </si>
  <si>
    <t>13.8</t>
  </si>
  <si>
    <t>13.9</t>
  </si>
  <si>
    <t>13.10</t>
  </si>
  <si>
    <t>Barra de apoio 40cm</t>
  </si>
  <si>
    <t>Barra de apoio 80cm</t>
  </si>
  <si>
    <t>INSTALAÇÕES DE GÁS</t>
  </si>
  <si>
    <t>INSTALAÇÕES HIDROSSANITARIAS</t>
  </si>
  <si>
    <t>TOTAL INSTALAÇÕES HIDROSSANITARIAS</t>
  </si>
  <si>
    <t>11.0</t>
  </si>
  <si>
    <t>12.0</t>
  </si>
  <si>
    <t>13.12</t>
  </si>
  <si>
    <t>13.13</t>
  </si>
  <si>
    <t>15.0</t>
  </si>
  <si>
    <t>16.0</t>
  </si>
  <si>
    <t>17.0</t>
  </si>
  <si>
    <t>INSTALAÇÕES SANITARIAS</t>
  </si>
  <si>
    <t>VENTILAÇÃO ESGOTO</t>
  </si>
  <si>
    <t>ACESSORIOS E LOUÇAS PARA BANHEIROS PCDs</t>
  </si>
  <si>
    <t>PREVENÇÃO E COMBATE A INCENDIO</t>
  </si>
  <si>
    <t>EXTINTORES DE INCÊNDIO</t>
  </si>
  <si>
    <t>SINALIZAÇÃO - SAIDA DE EMERGENCIA</t>
  </si>
  <si>
    <t>SISTEMA DE ALARME DE EMERGENCIA</t>
  </si>
  <si>
    <t>SISTEMA DE ACIONAMENTO DO HIDRANTE</t>
  </si>
  <si>
    <t>LUMINARIA DE EMERGENCIA</t>
  </si>
  <si>
    <t>PREVENÇÃO E COMBATE A INCÊNDIO</t>
  </si>
  <si>
    <t>Impermeabilização</t>
  </si>
  <si>
    <t>Barracão modelo Seduc</t>
  </si>
  <si>
    <t>TOTAL PREVENÇÃO E COMBATE A INCÊNDIO</t>
  </si>
  <si>
    <t>MÊS 05</t>
  </si>
  <si>
    <t>MÊS 06</t>
  </si>
  <si>
    <t>AC - Administração Central</t>
  </si>
  <si>
    <t>4,00% de PV</t>
  </si>
  <si>
    <t>DF - Custos Financeiros</t>
  </si>
  <si>
    <t>CF do (PV-Lucro Operacional)</t>
  </si>
  <si>
    <t>C - Riscos</t>
  </si>
  <si>
    <t>1,25% de PV</t>
  </si>
  <si>
    <t>S - Seguros e Garantias Contratuais</t>
  </si>
  <si>
    <t>2,50% a.a. sobre 5,00% do PV</t>
  </si>
  <si>
    <t xml:space="preserve">G - Garantias </t>
  </si>
  <si>
    <t>Sub-total</t>
  </si>
  <si>
    <t>E - Lucro Operacional</t>
  </si>
  <si>
    <t>7,50% de PV</t>
  </si>
  <si>
    <t>F - PIS</t>
  </si>
  <si>
    <t>0,65% de PV</t>
  </si>
  <si>
    <t>G - COFINS</t>
  </si>
  <si>
    <t>3,00% de PV</t>
  </si>
  <si>
    <t>H - ISSQN</t>
  </si>
  <si>
    <t>Contribuição Previdenciária - Lei N° 13.161/15</t>
  </si>
  <si>
    <t>Custo Direto - CD</t>
  </si>
  <si>
    <t>Preço de Venda - PV</t>
  </si>
  <si>
    <t>Legenda:</t>
  </si>
  <si>
    <t>CD = Custo Direto</t>
  </si>
  <si>
    <t>Selic Fev/2014 = 10,52%</t>
  </si>
  <si>
    <t>IA = Inflação Acumulada (período de 12 meses - IPCA) = 4,84%</t>
  </si>
  <si>
    <t>CF = ((1 + Selic)¹/¹² x ((1+IA)¹/¹² -1)</t>
  </si>
  <si>
    <t>Seguros e Garantias (2,5% a.a. sobre 5% do PV) - Prazo médio de 1 ano</t>
  </si>
  <si>
    <t>Lucro Operacional conforme Portaria SINFRA n°. 343/05 de 07 de junho de 2005.</t>
  </si>
  <si>
    <t>Localidade / alíquota ISSQN</t>
  </si>
  <si>
    <t>Para Mão de Obra</t>
  </si>
  <si>
    <t>40% sobre alíquota</t>
  </si>
  <si>
    <t>PERÍODO:</t>
  </si>
  <si>
    <t>Período:</t>
  </si>
  <si>
    <t>Execução de almoxarifado em canteiro de obra em chapa de madeira compensada, incluso prateleiras. af_02/2016</t>
  </si>
  <si>
    <t>Execução de refeitório em canteiro de obra em chapa de madeira compensada, não incluso mobiliário e equipamentos. af_02/2016</t>
  </si>
  <si>
    <t>2.9</t>
  </si>
  <si>
    <t>2.10</t>
  </si>
  <si>
    <t>2.11</t>
  </si>
  <si>
    <t>Área interna do terreno</t>
  </si>
  <si>
    <t>meio fio reto</t>
  </si>
  <si>
    <t>meio fio curvo</t>
  </si>
  <si>
    <t>79500/002</t>
  </si>
  <si>
    <t>piso paver</t>
  </si>
  <si>
    <t>Grama tipo esmeralda</t>
  </si>
  <si>
    <t>SDC01022</t>
  </si>
  <si>
    <t>Estrutura para forro pvc</t>
  </si>
  <si>
    <t>73964/006</t>
  </si>
  <si>
    <t>2 em cada banheiro 2 PCD = 4</t>
  </si>
  <si>
    <t>3 em cada banheiro 2 PCD = 6</t>
  </si>
  <si>
    <t>7.7</t>
  </si>
  <si>
    <t>7.8</t>
  </si>
  <si>
    <t>16 salas de aula + 1 laboratório de fisica + 1 laboratório de quimica + 1 sala de informatica + sala de reunião = 20</t>
  </si>
  <si>
    <t>Telha de aço</t>
  </si>
  <si>
    <t xml:space="preserve">Calha </t>
  </si>
  <si>
    <t>Rufo</t>
  </si>
  <si>
    <t>10 espelhos banheiro + 2 PCD + 2 professores: 0,45*0,55*14</t>
  </si>
  <si>
    <t>Mão Francesa</t>
  </si>
  <si>
    <t>13.16</t>
  </si>
  <si>
    <t>Exaustor</t>
  </si>
  <si>
    <t>CJ</t>
  </si>
  <si>
    <t>m³</t>
  </si>
  <si>
    <t>13.18</t>
  </si>
  <si>
    <t>13.19</t>
  </si>
  <si>
    <t>Volei</t>
  </si>
  <si>
    <t>Granito por m²</t>
  </si>
  <si>
    <t xml:space="preserve">Dep. Ali + Dep Utens + Apoio de pratos = ((6+3)*3)+4= 31 </t>
  </si>
  <si>
    <t>INSTALAÇÕES ELÉTRICAS - BAIXA TENSÃO</t>
  </si>
  <si>
    <t>SDC03003</t>
  </si>
  <si>
    <t>74131/004</t>
  </si>
  <si>
    <t>74131/005</t>
  </si>
  <si>
    <t>74131/008</t>
  </si>
  <si>
    <t>74130/006</t>
  </si>
  <si>
    <t>73798/003</t>
  </si>
  <si>
    <t>73798/001</t>
  </si>
  <si>
    <t>11.6</t>
  </si>
  <si>
    <t>2.8</t>
  </si>
  <si>
    <t>6.4</t>
  </si>
  <si>
    <t>6.5</t>
  </si>
  <si>
    <t>6.6</t>
  </si>
  <si>
    <t>6.7</t>
  </si>
  <si>
    <t>6.8</t>
  </si>
  <si>
    <t>Aplicação de massa latex em paredes internas</t>
  </si>
  <si>
    <t>Tinta latéx pva em paredes internas</t>
  </si>
  <si>
    <t>Pintura acrilica em paredes externas</t>
  </si>
  <si>
    <t>impermeabilizante a base de agua</t>
  </si>
  <si>
    <t>Placa de inauguração</t>
  </si>
  <si>
    <t>1 placa de inauguração</t>
  </si>
  <si>
    <t>Pintura em esquadrias metálicas</t>
  </si>
  <si>
    <t>muro alvenaria</t>
  </si>
  <si>
    <t>74220/001</t>
  </si>
  <si>
    <t>Estimado 4 caçamba para retirada de camada vegetal e lixos existentes no terreno</t>
  </si>
  <si>
    <t>Carga e transporte em caçamba bota-fora com capacidade de 6m³. inclusive taxa de destinação final</t>
  </si>
  <si>
    <t>Alvenaria de Vedação</t>
  </si>
  <si>
    <t>PAISAGISMO</t>
  </si>
  <si>
    <t>11.7</t>
  </si>
  <si>
    <t>11.8</t>
  </si>
  <si>
    <t>11.9</t>
  </si>
  <si>
    <t>11.10</t>
  </si>
  <si>
    <t>16.1</t>
  </si>
  <si>
    <t>17.1</t>
  </si>
  <si>
    <t>SDC04021</t>
  </si>
  <si>
    <t>73775/002</t>
  </si>
  <si>
    <t>73795/013</t>
  </si>
  <si>
    <t>73796/005</t>
  </si>
  <si>
    <t>kit playground</t>
  </si>
  <si>
    <t xml:space="preserve">1 kit </t>
  </si>
  <si>
    <t>22.0</t>
  </si>
  <si>
    <t>CISTERNA E CAIXAS D'ÁGUA</t>
  </si>
  <si>
    <t xml:space="preserve">LOUÇAS PARA OS BANHEIROS COLETIVOS </t>
  </si>
  <si>
    <t>BANHEIROS FUNCIONÁRIOS E COPA</t>
  </si>
  <si>
    <t>LOUÇAS LABORATÓRIOS</t>
  </si>
  <si>
    <t>ACESSORIOS COMPLEMENTARES E LOUÇAS PARA COZINHA, ÁREA DE SERVIÇO E REFEITÓRIO</t>
  </si>
  <si>
    <t>BANHEIROS FUNCIONÁRIOS REFEITÓRIO</t>
  </si>
  <si>
    <t>24.0</t>
  </si>
  <si>
    <t>SISTEMA DE TRATAMENTO DE ESGOTO</t>
  </si>
  <si>
    <t>ALIMENTAÇÃO</t>
  </si>
  <si>
    <t>ÁGUA FRIA - RAMAL DE DISTRIBUIÇÃO ESCOLAR</t>
  </si>
  <si>
    <t>21.0</t>
  </si>
  <si>
    <t>23.0</t>
  </si>
  <si>
    <t>25.0</t>
  </si>
  <si>
    <t>26.0</t>
  </si>
  <si>
    <t>27.0</t>
  </si>
  <si>
    <t>28.0</t>
  </si>
  <si>
    <t>30.0</t>
  </si>
  <si>
    <t>38.1</t>
  </si>
  <si>
    <t>38.2</t>
  </si>
  <si>
    <t>38.3</t>
  </si>
  <si>
    <t>38.4</t>
  </si>
  <si>
    <t>39.1</t>
  </si>
  <si>
    <t>39.2</t>
  </si>
  <si>
    <t>39.3</t>
  </si>
  <si>
    <t>39.4</t>
  </si>
  <si>
    <t>Soleira</t>
  </si>
  <si>
    <t>Escovódromo</t>
  </si>
  <si>
    <t>13.14</t>
  </si>
  <si>
    <t>13.15</t>
  </si>
  <si>
    <t>13.20</t>
  </si>
  <si>
    <t>13.21</t>
  </si>
  <si>
    <t>16.2</t>
  </si>
  <si>
    <t>40.2</t>
  </si>
  <si>
    <t>74130/008</t>
  </si>
  <si>
    <t>Mapa tatil</t>
  </si>
  <si>
    <t>Bloco de concreto (alerta) - externo</t>
  </si>
  <si>
    <t>Bloco de concreto (direcional) - externo</t>
  </si>
  <si>
    <t>Bloco de borracha (alerta e direcional) - interno</t>
  </si>
  <si>
    <t>LOUÇAS PARA VESTIÁRIOS</t>
  </si>
  <si>
    <t>16.6</t>
  </si>
  <si>
    <t>16.7</t>
  </si>
  <si>
    <t>16.8</t>
  </si>
  <si>
    <t>16.9</t>
  </si>
  <si>
    <t>16.10</t>
  </si>
  <si>
    <t>40.3</t>
  </si>
  <si>
    <t>41.0</t>
  </si>
  <si>
    <t>41.1</t>
  </si>
  <si>
    <t>41.2</t>
  </si>
  <si>
    <t>41.3</t>
  </si>
  <si>
    <t>42.0</t>
  </si>
  <si>
    <t>42.1</t>
  </si>
  <si>
    <t>43.0</t>
  </si>
  <si>
    <t>43.1</t>
  </si>
  <si>
    <t>44.0</t>
  </si>
  <si>
    <t>44.1</t>
  </si>
  <si>
    <t>44.2</t>
  </si>
  <si>
    <t>45.0</t>
  </si>
  <si>
    <t>45.1</t>
  </si>
  <si>
    <t>46.0</t>
  </si>
  <si>
    <t>46.1</t>
  </si>
  <si>
    <t>47.0</t>
  </si>
  <si>
    <t>47.1</t>
  </si>
  <si>
    <t>48.0</t>
  </si>
  <si>
    <t>48.1</t>
  </si>
  <si>
    <t>48.2</t>
  </si>
  <si>
    <t>48.3</t>
  </si>
  <si>
    <t>48.4</t>
  </si>
  <si>
    <t>48.5</t>
  </si>
  <si>
    <t>48.6</t>
  </si>
  <si>
    <t>49.0</t>
  </si>
  <si>
    <t>50.0</t>
  </si>
  <si>
    <t>50.1</t>
  </si>
  <si>
    <t>51.0</t>
  </si>
  <si>
    <t>51.1</t>
  </si>
  <si>
    <t>51.2</t>
  </si>
  <si>
    <t>51.3</t>
  </si>
  <si>
    <t>51.4</t>
  </si>
  <si>
    <t>51.5</t>
  </si>
  <si>
    <t>51.7</t>
  </si>
  <si>
    <t>51.8</t>
  </si>
  <si>
    <t>52.0</t>
  </si>
  <si>
    <t>52.1</t>
  </si>
  <si>
    <t>52.2</t>
  </si>
  <si>
    <t>52.3</t>
  </si>
  <si>
    <t>53.0</t>
  </si>
  <si>
    <t>53.1</t>
  </si>
  <si>
    <t>53.2</t>
  </si>
  <si>
    <t>53.3</t>
  </si>
  <si>
    <t>54.0</t>
  </si>
  <si>
    <t>54.1</t>
  </si>
  <si>
    <t>54.2</t>
  </si>
  <si>
    <t>55.0</t>
  </si>
  <si>
    <t>55.1</t>
  </si>
  <si>
    <t>56.0</t>
  </si>
  <si>
    <t>56.1</t>
  </si>
  <si>
    <t>56.2</t>
  </si>
  <si>
    <t>57.0</t>
  </si>
  <si>
    <t>57.1</t>
  </si>
  <si>
    <t>57.2</t>
  </si>
  <si>
    <t>58.0</t>
  </si>
  <si>
    <t>58.1</t>
  </si>
  <si>
    <t>MÊS 07</t>
  </si>
  <si>
    <t>MÊS 08</t>
  </si>
  <si>
    <t>MÊS 09</t>
  </si>
  <si>
    <t>MÊS 10</t>
  </si>
  <si>
    <t>300 dias</t>
  </si>
  <si>
    <t>CRONOGRAMA FÍSICO FINANCEIRO</t>
  </si>
  <si>
    <t>300 Dias</t>
  </si>
  <si>
    <t>BDI Final com impostos</t>
  </si>
  <si>
    <t xml:space="preserve">ESCALA SALARIAL DE MÃO-DE-OBRA 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</si>
  <si>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</si>
  <si>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</si>
  <si>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</si>
  <si>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</si>
  <si>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</si>
  <si>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</si>
  <si>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</si>
  <si>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</si>
  <si>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</si>
  <si>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</si>
  <si>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</si>
  <si>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</si>
  <si>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</si>
  <si>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</si>
  <si>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</si>
  <si>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</si>
  <si>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</si>
  <si>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</si>
  <si>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</si>
  <si>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</si>
  <si>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</si>
  <si>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</si>
  <si>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</si>
  <si>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</si>
  <si>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</si>
  <si>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</si>
  <si>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</si>
  <si>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</si>
  <si>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</si>
  <si>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</si>
  <si>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</si>
  <si>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</si>
  <si>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</si>
  <si>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</si>
  <si>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</si>
  <si>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</si>
  <si>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</si>
  <si>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</si>
  <si>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</si>
  <si>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</si>
  <si>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</si>
  <si>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</si>
  <si>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</si>
  <si>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</si>
  <si>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</si>
  <si>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</si>
  <si>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</si>
  <si>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</si>
  <si>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</si>
  <si>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</si>
  <si>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</si>
  <si>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</si>
  <si>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</si>
  <si>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</si>
  <si>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</si>
  <si>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</si>
  <si>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</si>
  <si>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</si>
  <si>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</si>
  <si>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</si>
  <si>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</si>
  <si>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</si>
  <si>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</si>
  <si>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</si>
  <si>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</si>
  <si>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</si>
  <si>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BWC Fem + BWC Masc = 16,69m² + 13,56m² = 30,25m²</t>
  </si>
  <si>
    <t>1 mastro pra bandeira</t>
  </si>
  <si>
    <t>OBRA:</t>
  </si>
  <si>
    <t>Município:</t>
  </si>
  <si>
    <t>Endereço:</t>
  </si>
  <si>
    <t>COMPACTACAO MECANICA C/ CONTROLE DO GC&gt;=95% DO PN (AREAS) (C/MONIVELADORA 140 HP E ROLO COMPRESSOR VIBRATORIO 80 HP)</t>
  </si>
  <si>
    <t>ESCAVACAO MECANICA DE VALA EM MATERIAL DE 2A. CATEGORIA ATE 2 M DE PROFUNDIDADE COM UTILIZACAO DE ESCAVADEIRA HIDRAULICA</t>
  </si>
  <si>
    <t>ESCAVAÇÃO MANUAL DE VALAS. AF_03/2016</t>
  </si>
  <si>
    <t>PREPARO DE FUNDO DE VALA COM LARGURA MENOR QUE 1,5 M, EM LOCAL COM NÍVEL BAIXO DE INTERFERÊNCIA. AF_06/2016</t>
  </si>
  <si>
    <t>LASTRO DE CONCRETO, E = 5 CM, PREPARO MECÂNICO, INCLUSOS LANÇAMENTO E ADENSAMENTO. AF_07_2016</t>
  </si>
  <si>
    <t>REATERRO DE VALA COM COMPACTAÇÃO MANUAL</t>
  </si>
  <si>
    <t>CARGA E DESCARGA MECANICA DE SOLO UTILIZANDO CAMINHAO BASCULANTE 6,0M3/16T E PA CARREGADEIRA SOBRE PNEUS 128 HP, CAPACIDADE DA CAÇAMBA 1,7 A 2,8 M3, PESO OPERACIONAL 11632 KG</t>
  </si>
  <si>
    <t>74010/001</t>
  </si>
  <si>
    <t>TRANSPORTE COM CAMINHÃO BASCULANTE 6 M3 EM RODOVIA PAVIMENTADA ( PARA DISTÂNCIAS SUPERIORES A 4 KM)</t>
  </si>
  <si>
    <t>IMPERMEABILIZACAO DE ESTRUTURAS ENTERRADAS, COM TINTA ASFALTICA, DUAS DEMAOS.</t>
  </si>
  <si>
    <t>FORNECIMENTO/INSTALACAO LONA PLASTICA PRETA, PARA IMPERMEABILIZACAO, ESPESSURA 150 MICRAS.</t>
  </si>
  <si>
    <t>MOVIMENTAÇÃO DE TERRA (PLATÔ)</t>
  </si>
  <si>
    <t>FORMA TABUA PARA CONCRETO EM FUNDACAO, C/ REAPROVEITAMENTO 2X.</t>
  </si>
  <si>
    <t>LANÇAMENTO COM USO DE BOMBA, ADENSAMENTO E ACABAMENTO DE CONCRETO EM ESTRUTURAS. AF_12/2015</t>
  </si>
  <si>
    <t>CONCRETO USINADO BOMBEAVEL, CLASSE DE RESISTENCIA C25, COM BRITA 0 E 1, SLUMP = 100 +/- 20 MM, EXCLUI SERVICO DE BOMBEAMENTO (NBR 8953)</t>
  </si>
  <si>
    <t>ARMAÇÃO DE FUNDAÇÕES E ESTRUTURAS DE CONCRETO ARMADO, EXCETO VIGAS, PILARES E LAJES (DE EDIFÍCIOS DE MÚLTIPLOS PAVIMENTOS, EDIFICAÇÃO TÉRREA OU SOBRADO), UTILIZANDO AÇO CA-50 DE 10.0 MM - MONTAGEM</t>
  </si>
  <si>
    <t>SDC01004</t>
  </si>
  <si>
    <t>ARMAÇÃO DE FUNDAÇÕES E ESTRUTURAS DE CONCRETO ARMADO, EXCETO VIGAS, PILARES E LAJES (DE EDIFÍCIOS DE MÚLTIPLOS PAVIMENTOS, EDIFICAÇÃO TÉRREA OU SOBRADO), UTILIZANDO AÇO CA-50 DE 12.5 MM - MONTAGEM</t>
  </si>
  <si>
    <t>SDC01006</t>
  </si>
  <si>
    <t>ARMAÇÃO DE FUNDAÇÕES E ESTRUTURAS DE CONCRETO ARMADO, EXCETO VIGAS, PILARES E LAJES (DE EDIFÍCIOS DE MÚLTIPLOS PAVIMENTOS, EDIFICAÇÃO TÉRREA OU SOBRADO), UTILIZANDO AÇO CA-60 DE 5.0 MM - MONTAGEM</t>
  </si>
  <si>
    <t>SDC01008</t>
  </si>
  <si>
    <t>ARMAÇÃO DE FUNDAÇÕES E ESTRUTURAS DE CONCRETO ARMADO, EXCETO VIGAS, PILARES E LAJES (DE EDIFÍCIOS DE MÚLTIPLOS PAVIMENTOS, EDIFICAÇÃO TÉRREA OU SOBRADO), UTILIZANDO AÇO CA-50 DE 6.3 MM - MONTAGEM</t>
  </si>
  <si>
    <t>SDC01010</t>
  </si>
  <si>
    <t>ARMAÇÃO DE FUNDAÇÕES E ESTRUTURAS DE CONCRETO ARMADO, EXCETO VIGAS, PILARES E LAJES (DE EDIFÍCIOS DE MÚLTIPLOS PAVIMENTOS, EDIFICAÇÃO TÉRREA OU SOBRADO), UTILIZANDO AÇO CA-50 DE 8.0 MM - MONTAGEM</t>
  </si>
  <si>
    <t>SDC01013</t>
  </si>
  <si>
    <t>4.11</t>
  </si>
  <si>
    <t>4.12</t>
  </si>
  <si>
    <t>4.13</t>
  </si>
  <si>
    <t>4.14</t>
  </si>
  <si>
    <t>4.15</t>
  </si>
  <si>
    <t>4.16</t>
  </si>
  <si>
    <t>MONTAGEM E DESMONTAGEM DE FÔRMA DE PILARES RETANGULARES E ESTRUTURAS SIMILARES COM ÁREA MÉDIA DAS SEÇÕES MENOR OU IGUAL A 0,25 M², PÉ-DIREITO SIMPLES, EM MADEIRA SERRADA, 2 UTILIZAÇÕES. AF_12/2015</t>
  </si>
  <si>
    <t>ARMAÇÃO DE PILAR OU VIGA DE UMA ESTRUTURA CONVENCIONAL DE CONCRETO ARMADO EM UMA EDIFÍCAÇÃO TÉRREA OU SOBRADO UTILIZANDO AÇO CA-60 DE 5.0 MM - MONTAGEM. AF_12/2015</t>
  </si>
  <si>
    <t>ARMAÇÃO DE PILAR OU VIGA DE UMA ESTRUTURA CONVENCIONAL DE CONCRETO ARMADO EM UMA EDIFÍCAÇÃO TÉRREA OU SOBRADO UTILIZANDO AÇO CA-50 DE 6.3 MM - MONTAGEM. AF_12/2015</t>
  </si>
  <si>
    <t>ARMAÇÃO DE PILAR OU VIGA DE UMA ESTRUTURA CONVENCIONAL DE CONCRETO ARMADO EM UMA EDIFÍCAÇÃO TÉRREA OU SOBRADO UTILIZANDO AÇO CA-50 DE 8.0 MM - MONTAGEM. AF_12/2015</t>
  </si>
  <si>
    <t>ARMAÇÃO DE PILAR OU VIGA DE UMA ESTRUTURA CONVENCIONAL DE CONCRETO ARMADO EM UMA EDIFÍCAÇÃO TÉRREA OU SOBRADO UTILIZANDO AÇO CA-50 DE 10.0 MM - MONTAGEM. AF_12/2015</t>
  </si>
  <si>
    <t>ARMAÇÃO DE PILAR OU VIGA DE UMA ESTRUTURA CONVENCIONAL DE CONCRETO ARMADO EM UMA EDIFÍCAÇÃO TÉRREA OU SOBRADO UTILIZANDO AÇO CA-50 DE 16.0 MM - MONTAGEM. AF_12/2015</t>
  </si>
  <si>
    <t>ARMAÇÃO DE PILAR OU VIGA DE UMA ESTRUTURA CONVENCIONAL DE CONCRETO ARMADO EM UMA EDIFÍCAÇÃO TÉRREA OU SOBRADO UTILIZANDO AÇO CA-50 DE 25.0 MM - MONTAGEM. AF_12/2015</t>
  </si>
  <si>
    <t>MONTAGEM E DESMONTAGEM DE FÔRMA DE VIGA, ESCORAMENTO COM PONTALETE DE MADEIRA, PÉ-DIREITO SIMPLES, EM MADEIRA SERRADA, 2 UTILIZAÇÕES. AF_12/2015</t>
  </si>
  <si>
    <t>LANÇAMENTO COM USO DE BALDES, ADENSAMENTO E ACABAMENTO DE CONCRETO EM ESTRUTURAS. AF_12/2015</t>
  </si>
  <si>
    <t>CRIAÇÃO DE PLATÔ PARA INÍCIO DA EXECUÇÃO DOS ELEMENTOS DE CONCRETO</t>
  </si>
  <si>
    <t>unid.</t>
  </si>
  <si>
    <t>FORNECIMENTO DE ATERRO (ESTIMADO VOLUME REFERENTE A CAMADA DE 0,40m EM TODA ÁREA DO BLOCO - COM SAIA DE PLATÔ DE 45°) - m3</t>
  </si>
  <si>
    <t>ESPALHAMENTO DO MATERIAL (ÁREA DO BLOCO 1)  - VER SE HÁ NECESSIDADE DE SER CONTADO DUAS VEZES, POIS É NECESSÁRIO FAZER O ESPALHAMENTO EM DUAS CAMADAS DE 0,20m - m2</t>
  </si>
  <si>
    <t>COMPACTAÇÃO DO MATERIAL (SUGIRO UTILIZAR ROLO COMPACTADOR) - m3</t>
  </si>
  <si>
    <t>INFRA-ESTRUTURA</t>
  </si>
  <si>
    <t>ITENS GERAIS</t>
  </si>
  <si>
    <t>ESCAVAÇÃO  DAS VIGAS BALDRAMES (CONSIDERADO VOLUME DE CONCRETO DAS BALDRAMES, DIVIDIDO PELA LARGURA DAS VIGAS (14cm) E MULTIPLICADO PELA LARGURA DA VALA (54cm) - 20cm PARA CADA LADO - m3</t>
  </si>
  <si>
    <t>APILOAMENTO DE FUNDO DAS SAPATAS - CONSIDERADO ÁREA ESCAVADA - m2</t>
  </si>
  <si>
    <t>APILOAMENTO DE FUNDO DAS VIGAS BALDRAMES - CONSIDERADO ÁREA ESCAVADA - (VOLUME DE ESCAVAÇÃO DIVIDIDO PELA ALTURA DAS VIGAS) - m2</t>
  </si>
  <si>
    <t>LASTRO DE CONCRETO - VIGAS BALDRAMES (ÁREA DE APILOAMENTO * 5cm) - m3</t>
  </si>
  <si>
    <t>REATERRO DAS SAPATAS - ESCAVAÇÃO MENOS VOLUME DE CONCRETO (m3)</t>
  </si>
  <si>
    <t>REATERRO DAS VIGAS BALDRAMES - ESCAVAÇÃO MENOS VOLUME DE CONCRETO (m3)</t>
  </si>
  <si>
    <t>BOTA FORA DAS SAPATAS - VOLUME DE CONCRETO DAS SAPATAS X EMPOLAMENTO (m3)</t>
  </si>
  <si>
    <t>BOTA FORA DAS VIGAS BALDRAMES - VOLUME DE CONCRETO DAS SAPATAS X EMPOLAMENTO (m3)</t>
  </si>
  <si>
    <t>IMPERMEABILIZAÇÃO - FACE LATERAL E TOPO DAS VIGAS BALDRAMES - IGUAL ÁREA DE FORMAS - m2</t>
  </si>
  <si>
    <t>LONA PLÁSTICA PRETA PARA IMPERMEABILIZAÇÃO DE CONTRAPISO (m2)</t>
  </si>
  <si>
    <t>ÁREA PARCIAL PARA VERIFICAÇÃO DE QTDADE DE FUROS DE SONDAGEM (m2)</t>
  </si>
  <si>
    <t>VOLUME DE CONCRETO - CONSIDERADO 7cm DE ESPESSURA (m3)</t>
  </si>
  <si>
    <t>LASTRO COM PREPARO DE FUNDO COM CAMADA DE BRITA - PARA IMPERMEABILIZAÇÃO DE CONTRAPISO ARMADO - (ÁREA INTERNA * 5cm) - m3</t>
  </si>
  <si>
    <t>LANÇAMENTO DE CONCRETO (m3)</t>
  </si>
  <si>
    <t>kg</t>
  </si>
  <si>
    <t>SAPATAS</t>
  </si>
  <si>
    <t>VOLUME DE CONCRETO (m3)</t>
  </si>
  <si>
    <t>AÇO CA50 - 10mm (kg)</t>
  </si>
  <si>
    <t>AÇO CA50 - 12,5mm (kg)</t>
  </si>
  <si>
    <t>VIGAS BALDRAMES</t>
  </si>
  <si>
    <t>AÇO CA60 - 5mm (kg)</t>
  </si>
  <si>
    <t>AÇO CA50 - 6,3mm (kg)</t>
  </si>
  <si>
    <t>AÇO CA50 - 8mm (kg)</t>
  </si>
  <si>
    <t>AÇO CA50 - 16mm (kg)</t>
  </si>
  <si>
    <t>SUPER-ESTRUTURA</t>
  </si>
  <si>
    <t>PILARES</t>
  </si>
  <si>
    <t>FORMA (m2)</t>
  </si>
  <si>
    <t>AÇO CA50 - 25mm (kg)</t>
  </si>
  <si>
    <t>VIGAS</t>
  </si>
  <si>
    <t>COBERTURA METÁLICA</t>
  </si>
  <si>
    <t>ESTRUTURA METÁLICA (ESTRUTURA METÁLICA + PLACA BASE)</t>
  </si>
  <si>
    <t>(kg)</t>
  </si>
  <si>
    <t>PINTURA P/ EST. METÁLICA (PINTURA COM ESMALTE SINTÉTICO)</t>
  </si>
  <si>
    <t>(m2)</t>
  </si>
  <si>
    <t>AÇO CA50 - 16mm (CHUMBADORES DA PLACA BASE)</t>
  </si>
  <si>
    <t>LAJES</t>
  </si>
  <si>
    <t>ARMAÇÃO DE PILAR OU VIGA DE UMA ESTRUTURA CONVENCIONAL DE CONCRETO ARMADO EM UMA EDIFÍCAÇÃO TÉRREA OU SOBRADO UTILIZANDO AÇO CA-50 DE 12.5 MM - MONTAGEM. AF_12/2015</t>
  </si>
  <si>
    <t>6.9</t>
  </si>
  <si>
    <t>6.10</t>
  </si>
  <si>
    <t>LAJE PRÉ-MOLDADA TRELIÇADA, PARA COBERTURA, INCLUSIVE EPS, CAPEAMENTO 4,0CM E ALTURA FINAL 12,0CM, FCK=25MPA. INCLUSO ESCORAMENTO</t>
  </si>
  <si>
    <t>SDC01016</t>
  </si>
  <si>
    <t>ARMACAO EM TELA DE ACO SOLDADA NERVURADA Q-92, ACO CA-60, 4,2MM, MALHA 15X15CM</t>
  </si>
  <si>
    <t>BLOCO DE SALAS DE AULA E ADMINISTRATIVO</t>
  </si>
  <si>
    <t>TOTAL BLOCO DE SALAS DE AULA E ADMINISTRATIVO</t>
  </si>
  <si>
    <t>FORNECIMENTO DE ESTRUTURA METÁLICA PARA COBERTURA, COM UTILIZAÇÃO DE PERFIS EM AÇO ASTM A36</t>
  </si>
  <si>
    <t>SDC01017</t>
  </si>
  <si>
    <t>MONTAGEM DE ESTRUTURA METÁLICA</t>
  </si>
  <si>
    <t>SDC01018</t>
  </si>
  <si>
    <t xml:space="preserve">FORNECIMENTO DE ATERRO (ESTIMADO VOLUME REFERENTE A CAMADA DE 0,40m EM TODA ÁREA DO REFEITÓRIO - COM SAIA DE PLATÔ DE 45°) </t>
  </si>
  <si>
    <t xml:space="preserve">ESPALHAMENTO DO MATERIAL (ÁREA DO REFEITÓRIO)  - VER SE HÁ NECESSIDADE DE SER CONTADO DUAS VEZES, POIS É NECESSÁRIO FAZER O ESPALHAMENTO EM DUAS CAMADAS DE 0,20m </t>
  </si>
  <si>
    <t xml:space="preserve">COMPACTAÇÃO DO MATERIAL (SUGIRO UTILIZAR ROLO COMPACTADOR) </t>
  </si>
  <si>
    <t xml:space="preserve">ESCAVAÇÃO  DAS VIGAS BALDRAMES (CONSIDERADO VOLUME DE CONCRETO DAS BALDRAMES, DIVIDIDO PELA LARGURA DAS VIGAS (15cm) E MULTIPLICADO PELA LARGURA DA VALA (55cm) - 20cm PARA CADA LADO </t>
  </si>
  <si>
    <t>REATERRO DAS SAPATAS</t>
  </si>
  <si>
    <t xml:space="preserve">APILOAMENTO DE FUNDO DAS SAPATAS - CONSIDERADO ÁREA ESCAVADA </t>
  </si>
  <si>
    <t xml:space="preserve">APILOAMENTO DE FUNDO DAS VIGAS BALDRAMES - CONSIDERADO ÁREA ESCAVADA - (VOLUME DE ESCAVAÇÃO DIVIDIDO PELA ALTURA DAS VIGAS) </t>
  </si>
  <si>
    <t xml:space="preserve">LASTRO DE CONCRETO - VIGAS BALDRAMES (ÁREA DE APILOAMENTO * 5cm) </t>
  </si>
  <si>
    <t xml:space="preserve">LASTRO COM PREPARO DE FUNDO COM CAMADA DE BRITA P/ CONTRAPISO ARMADO - (ÁREA INTERNA * 5cm) </t>
  </si>
  <si>
    <t xml:space="preserve">IMPERMEABILIZAÇÃO - FACE LATERAL E TOPO DAS VIGAS BALDRAMES - IGUAL ÁREA DE FORMAS </t>
  </si>
  <si>
    <t>LONA PLÁSTICA PRETA PARA IMPERMEABILIZAÇÃO DE CONTRAPISO ARMADO</t>
  </si>
  <si>
    <t>AREA PARCIAL P/ VERIFICAÇÃO DE QUANTIDADE DE FUROS DE SONDAGEM</t>
  </si>
  <si>
    <t>VOLUME DE CONCRETO FCK=25MPA (AREA INTERNA * 7cm)</t>
  </si>
  <si>
    <t>LANÇAMENTO DE CONCRETO</t>
  </si>
  <si>
    <t>FORMA PARA FUNDAÇÃO</t>
  </si>
  <si>
    <t>VOLUME DE CONCRETO FCK=25MPA</t>
  </si>
  <si>
    <t>AÇO CA60 - 5mm</t>
  </si>
  <si>
    <t>AÇO CA50 - 10mm</t>
  </si>
  <si>
    <t>AÇO CA50 - 12,5mm</t>
  </si>
  <si>
    <t>FORMA</t>
  </si>
  <si>
    <t>AÇO CA50 - 6,3mm</t>
  </si>
  <si>
    <t>AÇO CA50 - 8mm</t>
  </si>
  <si>
    <t>AÇO CA50 - 16mm</t>
  </si>
  <si>
    <t xml:space="preserve"> ESTRUTURA DE COBERTURA</t>
  </si>
  <si>
    <t>REFEITÓRIO</t>
  </si>
  <si>
    <t>TOTAL REFEITÓRIO</t>
  </si>
  <si>
    <t>FORNECIMENTO DE ATERRO (ESTIMADO VOLUME REFERENTE A CAMADA DE 0,40m EM TODA ÁREA DA QUADRA E DO VESTIÁRIO - COM SAIA DE PLATÔ DE 45°) - m3</t>
  </si>
  <si>
    <t>ESPALHAMENTO E COMPACTAÇÃO DO MATERIAL (SUGIRO UTILIZAR ROLO COMPACTADOR) - m3</t>
  </si>
  <si>
    <t>ESTACA HÉLICE CONTÍNUA, DIÂMETRO DE 30 CM, COMPRIMENTO TOTAL ATÉ 15 M, PERFURATRIZ COM TORQUE DE 170 KN.M. AF_02/2015</t>
  </si>
  <si>
    <t>ESCAVAÇÃO  DOS BLOCOS (CONSIDERADO ÁREA DOS BLOCOS E FOLGA DE 20cm PARA CADA LADO - ALTURA DE CONFORME PROJETO) - m3</t>
  </si>
  <si>
    <t>ESCAVAÇÃO  DAS VIGAS BALDRAMES (CONSIDERADO 20cm PARA CADA LADO) - m3</t>
  </si>
  <si>
    <t>APILOAMENTO DE FUNDO DOS BLOCOS - CONSIDERADO ÁREA ESCAVADA - m2</t>
  </si>
  <si>
    <t>REATERRO DOS BLOCOS - ESCAVAÇÃO MENOS VOLUME DE CONCRETO (m3)</t>
  </si>
  <si>
    <t>BOTA FORA DOS BLOCOS - VOLUME DE CONCRETO DAS BLOCOS X EMPOLAMENTO (m3)</t>
  </si>
  <si>
    <t>BOTA FORA DAS VIGAS BALDRAMES - VOLUME DE CONCRETO DAS VIGAS BALDRAMES X EMPOLAMENTO (m3)</t>
  </si>
  <si>
    <t>BLOCOS</t>
  </si>
  <si>
    <t>FÔRMAS PARA FUNDAÇÃO (m2)</t>
  </si>
  <si>
    <t>ESTACA HÉLICE CONTÍNUA, DIÂMETRO DE 30 CM, COMPRIMENTO TOTAL ATÉ 15 M, PERFURATRIZ COM TORQUE DE 170 KN.M (EXCLUSIVE MOBILIZAÇÃO E DESMOBILIZAÇÃO). AF_02/2015</t>
  </si>
  <si>
    <t>ÁREA EXTERNA</t>
  </si>
  <si>
    <t>TOTAL ÁREA EXTERNA</t>
  </si>
  <si>
    <t>TOTAL QUADRA</t>
  </si>
  <si>
    <t>TOTAL PRELIMINARES</t>
  </si>
  <si>
    <t>PRELIMINARES</t>
  </si>
  <si>
    <t>AQUISIÇÃO DE MATERIAL PARA ATERRO</t>
  </si>
  <si>
    <t>SDC01021</t>
  </si>
  <si>
    <t>PERGOLADOS METÁLICOS</t>
  </si>
  <si>
    <t>SDC01024</t>
  </si>
  <si>
    <t>LASTRO DE BRITA Nº 02</t>
  </si>
  <si>
    <t>(COMPOSIÇÃO REPRESENTATIVA) DO SERVIÇO DE ALVENARIA DE VEDAÇÃO DE BLOCOS VAZADOS DE CERÂMICA DE 9X19X19CM (ESPESSURA 9CM), PARA EDIFICAÇÃO HABITACIONAL UNIFAMILIAR (CASA) E EDIFICAÇÃO PÚBLICA PADRÃO. AF_11/2014</t>
  </si>
  <si>
    <t>REGISTRO DE GAVETA BRUTO, LATÃO, ROSCÁVEL, 1, COM ACABAMENTO E CANOPLA CROMADOS, INSTALADO EM RESERVAÇÃO DE ÁGUA DE EDIFICAÇÃO QUE POSSUA RESERVATÓRIO DE FIBRA/FIBROCIMENTO  FORNECIMENTO E INSTALAÇÃO. AF_06/2016</t>
  </si>
  <si>
    <t>ADAPTADOR CURTO COM BOLSA E ROSCA PARA REGISTRO, PVC, SOLDÁVEL, DN 32MM X 1, INSTALADO EM RAMAL OU SUB-RAMAL DE ÁGUA - FORNECIMENTO E INSTALAÇÃO. AF_12/2014</t>
  </si>
  <si>
    <t>REGISTRO DE GAVETA BRUTO, LATÃO, ROSCÁVEL, 2, INSTALADO EM RESERVAÇÃO DE ÁGUA DE EDIFICAÇÃO QUE POSSUA RESERVATÓRIO DE FIBRA/FIBROCIMENTO  FORNECIMENTO E INSTALAÇÃO. AF_06/2016</t>
  </si>
  <si>
    <t>REGISTRO DE GAVETA BRUTO, LATÃO, ROSCÁVEL, 2 1/2, INSTALADO EM RESERVAÇÃO DE ÁGUA DE EDIFICAÇÃO QUE POSSUA RESERVATÓRIO DE FIBRA/FIBROCIMENTO  FORNECIMENTO E INSTALAÇÃO. AF_06/2016</t>
  </si>
  <si>
    <t>REGISTRO DE GAVETA BRUTO, LATÃO, ROSCÁVEL, 3, INSTALADO EM RESERVAÇÃO DE ÁGUA DE EDIFICAÇÃO QUE POSSUA RESERVATÓRIO DE FIBRA/FIBROCIMENTO  FORNECIMENTO E INSTALAÇÃO. AF_06/2016</t>
  </si>
  <si>
    <t>REGISTRO DE GAVETA BRUTO, LATÃO, ROSCÁVEL, 3/4", COM ACABAMENTO E CANOPLA CROMADOS. FORNECIDO E INSTALADO EM RAMAL DE ÁGUA. AF_12/2014</t>
  </si>
  <si>
    <t>JOELHO 90 GRAUS COM BUCHA DE LATÃO, PVC, SOLDÁVEL, DN 25MM, X 1/2 INSTALADO EM RAMAL OU SUB-RAMAL DE ÁGUA - FORNECIMENTO E INSTALAÇÃO. AF_12/2014</t>
  </si>
  <si>
    <t>ADAPTADOR CURTO COM BOLSA E ROSCA PARA REGISTRO, PVC, SOLDÁVEL, DN 25MM X 3/4, INSTALADO EM RAMAL OU SUB-RAMAL DE ÁGUA - FORNECIMENTO E INSTALAÇÃO. AF_12/2014</t>
  </si>
  <si>
    <t>ADAPTADOR CURTO COM BOLSA E ROSCA PARA REGISTRO, PVC, SOLDÁVEL, DN 50MM X 1.1/2, INSTALADO EM PRUMADA DE ÁGUA - FORNECIMENTO E INSTALAÇÃO. AF_12/2014</t>
  </si>
  <si>
    <t>ADAPTADOR CURTO COM BOLSA E ROSCA PARA REGISTRO, PVC, SOLDÁVEL, DN 60MM X 2, INSTALADO EM PRUMADA DE ÁGUA - FORNECIMENTO E INSTALAÇÃO. AF_12/2014</t>
  </si>
  <si>
    <t>ADAPTADOR CURTO COM BOLSA E ROSCA PARA REGISTRO, PVC, SOLDÁVEL, DN 75MM X 2.1/2, INSTALADO EM PRUMADA DE ÁGUA - FORNECIMENTO E INSTALAÇÃO. AF_12/2014</t>
  </si>
  <si>
    <t>ADAPTADOR CURTO COM BOLSA E ROSCA PARA REGISTRO, PVC, SOLDÁVEL, DN 85MM X 3, INSTALADO EM PRUMADA DE ÁGUA - FORNECIMENTO E INSTALAÇÃO. AF_12/2014</t>
  </si>
  <si>
    <t>JOELHO 90 GRAUS, PVC, SOLDÁVEL, DN 25MM, INSTALADO EM PRUMADA DE ÁGUA - FORNECIMENTO E INSTALAÇÃO. AF_12/2014</t>
  </si>
  <si>
    <t>JOELHO 90 GRAUS, PVC, SOLDÁVEL, DN 50MM, INSTALADO EM PRUMADA DE ÁGUA - FORNECIMENTO E INSTALAÇÃO. AF_12/2014</t>
  </si>
  <si>
    <t>JOELHO 90 GRAUS, PVC, SOLDÁVEL, DN 60MM, INSTALADO EM PRUMADA DE ÁGUA - FORNECIMENTO E INSTALAÇÃO. AF_12/2014</t>
  </si>
  <si>
    <t>JOELHO 90 GRAUS, PVC, SOLDÁVEL, DN 75MM, INSTALADO EM PRUMADA DE ÁGUA - FORNECIMENTO E INSTALAÇÃO. AF_12/2014</t>
  </si>
  <si>
    <t>JOELHO 90 GRAUS, PVC, SOLDÁVEL, DN 85MM, INSTALADO EM PRUMADA DE ÁGUA - FORNECIMENTO E INSTALAÇÃO. AF_12/2014</t>
  </si>
  <si>
    <t>TUBO, PVC, SOLDÁVEL, DN 50MM, INSTALADO EM PRUMADA DE ÁGUA - FORNECIMENTO E INSTALAÇÃO. AF_12/2014</t>
  </si>
  <si>
    <t>TUBO, PVC, SOLDÁVEL, DN 60MM, INSTALADO EM PRUMADA DE ÁGUA - FORNECIMENTO E INSTALAÇÃO. AF_12/2014</t>
  </si>
  <si>
    <t>TUBO, PVC, SOLDÁVEL, DN 75MM, INSTALADO EM PRUMADA DE ÁGUA - FORNECIMENTO E INSTALAÇÃO. AF_12/2014</t>
  </si>
  <si>
    <t>TUBO, PVC, SOLDÁVEL, DN 85MM, INSTALADO EM PRUMADA DE ÁGUA - FORNECIMENTO E INSTALAÇÃO. AF_12/2014</t>
  </si>
  <si>
    <t>TE, PVC, SOLDÁVEL, DN 25MM, INSTALADO EM RAMAL OU SUB-RAMAL DE ÁGUA - FORNECIMENTO E INSTALAÇÃO. AF_12/2014</t>
  </si>
  <si>
    <t>TE, PVC, SOLDÁVEL, DN 50MM, INSTALADO EM PRUMADA DE ÁGUA - FORNECIMENTO E INSTALAÇÃO. AF_12/2014</t>
  </si>
  <si>
    <t>TE, PVC, SOLDÁVEL, DN 60MM, INSTALADO EM PRUMADA DE ÁGUA - FORNECIMENTO E INSTALAÇÃO. AF_12/2014</t>
  </si>
  <si>
    <t>TE, PVC, SOLDÁVEL, DN 85MM, INSTALADO EM PRUMADA DE ÁGUA - FORNECIMENTO E INSTALAÇÃO. AF_12/2014</t>
  </si>
  <si>
    <t>TÊ DE REDUÇÃO, PVC, SOLDÁVEL, DN 50MM X 25MM, INSTALADO EM PRUMADA DE ÁGUA - FORNECIMENTO E INSTALAÇÃO. AF_12/2014</t>
  </si>
  <si>
    <t>TÊ COM BUCHA DE LATÃO NA BOLSA CENTRAL, PVC, SOLDÁVEL, DN 25MM X 1/2, INSTALADO EM RAMAL DE DISTRIBUIÇÃO DE ÁGUA - FORNECIMENTO E INSTALAÇÃO. AF_12/2014</t>
  </si>
  <si>
    <t>TÊ COM BUCHA DE LATÃO NA BOLSA CENTRAL, PVC, SOLDÁVEL, DN 25MM X 3/4, INSTALADO EM RAMAL OU SUB-RAMAL DE ÁGUA - FORNECIMENTO E INSTALAÇÃO. AF_03/2015</t>
  </si>
  <si>
    <t>VALVULA DESCARGA 1.1/2" COM REGISTRO, ACABAMENTO EM METAL CROMADO - FORNECIMENTO E INSTALACAO</t>
  </si>
  <si>
    <t>74234/001</t>
  </si>
  <si>
    <t>CUBA DE EMBUTIR OVAL EM LOUÇA BRANCA, 35 X 50CM OU EQUIVALENTE - FORNECIMENTO E INSTALAÇÃO. AF_12/2013</t>
  </si>
  <si>
    <t>TORNEIRA CROMADA DE MESA, 1/2" OU 3/4", PARA LAVATÓRIO, PADRÃO POPULAR - FORNECIMENTO E INSTALAÇÃO. AF_12/2013</t>
  </si>
  <si>
    <t>CHUVEIRO ELETRICO COMUM CORPO PLASTICO TIPO DUCHA, FORNECIMENTO E INSTALACAO</t>
  </si>
  <si>
    <t>LAVATÓRIO LOUÇA BRANCA SUSPENSO, 29,5 X 39CM OU EQUIVALENTE, PADRÃO POPULAR, INCLUSO SIFÃO TIPO GARRAFA EM PVC, VÁLVULA E ENGATE FLEXÍVEL 30CM EM PLÁSTICO E TORNEIRA CROMADA DE MESA, PADRÃO POPULAR - FORNECIMENTO E INSTALAÇÃO. AF_12/2013</t>
  </si>
  <si>
    <t>VASO SANITÁRIO SIFONADO COM CAIXA ACOPLADA LOUÇA BRANCA, INCLUSO ENGATE FLEXÍVEL EM PLÁSTICO BRANCO, 1/2 X 40CM - FORNECIMENTO E INSTALAÇÃO. AF_12/2013</t>
  </si>
  <si>
    <t>CUBA DE EMBUTIR DE AÇO INOXIDÁVEL MÉDIA, INCLUSO VÁLVULA TIPO AMERICANA EM METAL CROMADO E SIFÃO FLEXÍVEL EM PVC - FORNECIMENTO E INSTALAÇÃO. AF_12/2013</t>
  </si>
  <si>
    <t>PAPELEIRA DE PAREDE EM METAL CROMADO SEM TAMPA, INCLUSO FIXAÇÃO. AF_10/2016</t>
  </si>
  <si>
    <t>SABONETEIRA PLASTICA TIPO DISPENSER PARA SABONETE LIQUIDO COM RESERVATORIO 800 A 1500 ML, INCLUSO FIXAÇÃO. AF_10/2016</t>
  </si>
  <si>
    <t>74051/001</t>
  </si>
  <si>
    <t>CAIXA DE GORDURA DUPLA EM CONCRETO PRE-MOLDADO DN 60MM COM TAMPA - FORNECIMENTO E INSTALACAO</t>
  </si>
  <si>
    <t>74104/001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</si>
  <si>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</si>
  <si>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CAIXA DE INSPEÇÃO 80X80X80CM EM ALVENARIA - EXECUÇÃO</t>
  </si>
  <si>
    <t>CAIXA SIFONADA, PVC, DN 100 X 100 X 50 MM, FORNECIDA E INSTALADA EM RAMAIS DE ENCAMINHAMENTO DE ÁGUA PLUVIAL. AF_12/2014</t>
  </si>
  <si>
    <t>CURVA CURTA 90 GRAUS, PVC, SERIE NORMAL, ESGOTO PREDIAL, DN 100 MM, JUNTA ELÁSTICA, FORNECIDO E INSTALADO EM RAMAL DE DESCARGA OU RAMAL DE ESGOTO SANITÁRIO. AF_12/2014</t>
  </si>
  <si>
    <t>CURVA CURTA 90 GRAUS, PVC, SERIE NORMAL, ESGOTO PREDIAL, DN 40 MM, JUNTA SOLDÁVEL, FORNECIDO E INSTALADO EM RAMAL DE DESCARGA OU RAMAL DE ESGOTO SANITÁRIO. AF_12/2014</t>
  </si>
  <si>
    <t>JOELHO 90 GRAUS, PVC, SERIE NORMAL, ESGOTO PREDIAL, DN 75 MM, JUNTA ELÁSTICA, FORNECIDO E INSTALADO EM PRUMADA DE ESGOTO SANITÁRIO OU VENTILAÇÃO. AF_12/2014</t>
  </si>
  <si>
    <t>JOELHO 90 GRAUS, PVC, SERIE NORMAL, ESGOTO PREDIAL, DN 100 MM, JUNTA ELÁSTICA, FORNECIDO E INSTALADO EM SUBCOLETOR AÉREO DE ESGOTO SANITÁRIO. AF_12/2014</t>
  </si>
  <si>
    <t>JOELHO 90 GRAUS, PVC, SERIE NORMAL, ESGOTO PREDIAL, DN 40 MM, JUNTA SOLDÁVEL, FORNECIDO E INSTALADO EM RAMAL DE DESCARGA OU RAMAL DE ESGOTO SANITÁRIO. AF_12/2014</t>
  </si>
  <si>
    <t>JUNÇÃO SIMPLES, PVC, SERIE NORMAL, ESGOTO PREDIAL, DN 100 X 100 MM, JUNTA ELÁSTICA, FORNECIDO E INSTALADO EM RAMAL DE DESCARGA OU RAMAL DE ESGOTO SANITÁRIO. AF_12/2014</t>
  </si>
  <si>
    <t>JUNÇÃO SIMPLES, PVC, SERIE NORMAL, ESGOTO PREDIAL, DN 50 X 50 MM, JUNTA ELÁSTICA, FORNECIDO E INSTALADO EM RAMAL DE DESCARGA OU RAMAL DE ESGOTO SANITÁRIO. AF_12/2014</t>
  </si>
  <si>
    <t>REDUÇÃO EXCÊNTRICA, PVC, SERIE R, ÁGUA PLUVIAL, DN 75 X 50 MM, JUNTA ELÁSTICA, FORNECIDO E INSTALADO EM RAMAL DE ENCAMINHAMENTO. AF_12/2014</t>
  </si>
  <si>
    <t>TUBO PVC, SERIE NORMAL, ESGOTO PREDIAL, DN 100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</si>
  <si>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</si>
  <si>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</si>
  <si>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TUBO PVC, SERIE NORMAL, ESGOTO PREDIAL, DN 150 MM, FORNECIDO E INSTALADO EM SUBCOLETOR AÉREO DE ESGOTO SANITÁRIO. AF_12/2014</t>
  </si>
  <si>
    <t>TUBO PVC, SERIE NORMAL, ESGOTO PREDIAL, DN 40 MM, FORNECIDO E INSTALADO EM RAMAL DE DESCARGA OU RAMAL DE ESGOTO SANITÁRIO. AF_12/2014</t>
  </si>
  <si>
    <t>CURVA CURTA 90 GRAUS, PVC, SERIE NORMAL, ESGOTO PREDIAL, DN 50 MM, JUNTA ELÁSTICA, FORNECIDO E INSTALADO EM PRUMADA DE ESGOTO SANITÁRIO OU VENTILAÇÃO. AF_12/2014</t>
  </si>
  <si>
    <t>JOELHO 90 GRAUS, PVC, SERIE NORMAL, ESGOTO PREDIAL, DN 50 MM, JUNTA ELÁSTICA, FORNECIDO E INSTALADO EM RAMAL DE DESCARGA OU RAMAL DE ESGOTO SANITÁRIO. AF_12/2014</t>
  </si>
  <si>
    <t>TUBO PVC, SERIE NORMAL, ESGOTO PREDIAL, DN 50 MM, FORNECIDO E INSTALADO EM PRUMADA DE ESGOTO SANITÁRIO OU VENTILAÇÃO. AF_12/2014</t>
  </si>
  <si>
    <t>TE, PVC, SERIE NORMAL, ESGOTO PREDIAL, DN 50 X 50 MM, JUNTA ELÁSTICA, FORNECIDO E INSTALADO EM PRUMADA DE ESGOTO SANITÁRIO OU VENTILAÇÃO. AF_12/2014</t>
  </si>
  <si>
    <t>TUBO, PVC, SOLDÁVEL, DN 25MM, INSTALADO EM RAMAL DE DISTRIBUIÇÃO DE ÁGUA - FORNECIMENTO E INSTALAÇÃO. AF_12/2014</t>
  </si>
  <si>
    <t>CAIXA DE PASSAGEM 30X30X40 COM TAMPA E DRENO BRITA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</si>
  <si>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</si>
  <si>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</si>
  <si>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</si>
  <si>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LÂMPADA LED 10 W BIVOLT BRANCA, FORMATO TRADICIONAL (BASE E27) - FORNECIMENTO E INSTALAÇÃO</t>
  </si>
  <si>
    <t>CAIXA RETANGULAR 4" X 2" BAIXA (0,30 M DO PISO), METÁLICA, INSTALADA EM PAREDE - FORNECIMENTO E INSTALAÇÃO. AF_12/2015</t>
  </si>
  <si>
    <t>TOMADA BAIXA DE EMBUTIR (1 MÓDULO), 2P+T 10 A, INCLUINDO SUPORTE E PLACA - FORNECIMENTO E INSTALAÇÃO. AF_12/2015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</si>
  <si>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</si>
  <si>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</si>
  <si>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INTERRUPTOR SIMPLES (3 MÓDULOS), 10A/250V, SEM SUPORTE E SEM PLACA - FORNECIMENTO E INSTALAÇÃO. AF_12/2015</t>
  </si>
  <si>
    <t>QUADRO DE DISTRIBUICAO DE ENERGIA DE EMBUTIR, EM CHAPA METALICA, PARA 18 DISJUNTORES TERMOMAGNETICOS MONOPOLARES, COM BARRAMENTO TRIFASICO E NEUTRO, FORNECIMENTO E INSTALACAO</t>
  </si>
  <si>
    <t>QUADRO DE DISTRIBUICAO DE ENERGIA DE EMBUTIR, EM CHAPA METALICA, PARA 24 DISJUNTORES TERMOMAGNETICOS MONOPOLARES, COM BARRAMENTO TRIFASICO E NEUTRO, FORNECIMENTO E INSTALACAO</t>
  </si>
  <si>
    <t>QUADRO DE DISTRIBUICAO DE ENERGIA DE EMBUTIR, EM CHAPA METALICA, PARA 32 DISJUNTORES TERMOMAGNETICOS MONOPOLARES, COM BARRAMENTO TRIFASICO E NEUTRO, FORNECIMENTO E INSTALACAO</t>
  </si>
  <si>
    <t>QUADRO DE DISTRIBUICAO DE ENERGIA DE EMBUTIR, EM CHAPA METALICA, PARA 50 DISJUNTORES TERMOMAGNETICOS MONOPOLARES, COM BARRAMENTO TRIFASICO E NEUTRO, FORNECIMENTO E INSTALACAO</t>
  </si>
  <si>
    <t>DISJUNTOR MONOPOLAR TIPO DIN, CORRENTE NOMINAL DE 10A - FORNECIMENTO E INSTALAÇÃO. AF_04/2016</t>
  </si>
  <si>
    <t>DISJUNTOR MONOPOLAR TIPO DIN, CORRENTE NOMINAL DE 20A - FORNECIMENTO E INSTALAÇÃO. AF_04/2016</t>
  </si>
  <si>
    <t>DISJUNTOR MONOPOLAR TIPO DIN, CORRENTE NOMINAL DE 25A - FORNECIMENTO E INSTALAÇÃO. AF_04/2016</t>
  </si>
  <si>
    <t>DISJUNTOR BIPOLAR TIPO DIN, CORRENTE NOMINAL DE 10A - FORNECIMENTO E INSTALAÇÃO. AF_04/2016</t>
  </si>
  <si>
    <t>DISJUNTOR BIPOLAR TIPO DIN, CORRENTE NOMINAL DE 20A - FORNECIMENTO E INSTALAÇÃO. AF_04/2016</t>
  </si>
  <si>
    <t>DISJUNTOR TERMOMAGNETICO TRIPOLAR PADRAO NEMA (AMERICANO) 60 A 100A 240V, FORNECIMENTO E INSTALACAO</t>
  </si>
  <si>
    <t>DISJUNTOR TERMOMAGNETICO TRIPOLAR PADRAO NEMA (AMERICANO) 125 A 150A 240V, FORNECIMENTO E INSTALACAO</t>
  </si>
  <si>
    <t>DISJUNTOR TERMOMAGNETICO TRIPOLAR EM CAIXA MOLDADA 300 A 400A 600V, FORNECIMENTO E INSTALACAO</t>
  </si>
  <si>
    <t>ELETRODUTO FLEXÍVEL CORRUGADO, PVC, DN 32 MM (1"), PARA CIRCUITOS TERMINAIS, INSTALADO EM FORRO - FORNECIMENTO E INSTALAÇÃO. AF_12/2015</t>
  </si>
  <si>
    <t>DUTO ESPIRAL FLEXIVEL SINGELO PEAD D=75MM(3") REVESTIDO COM PVC COM FIO GUIA DE ACO GALVANIZADO, LANCADO DIRETO NO SOLO, INCL CONEXOES</t>
  </si>
  <si>
    <t>DUTO ESPIRAL FLEXIVEL SINGELO PEAD D=50MM(2") REVESTIDO COM PVC COM FIO GUIA DE ACO GALVANIZADO, LANCADO DIRETO NO SOLO, INCL CONEXOES</t>
  </si>
  <si>
    <t>ELETRODUTO RÍGIDO ROSCÁVEL, PVC, DN 32 MM (1"), PARA CIRCUITOS TERMINAIS, INSTALADO EM LAJE - FORNECIMENTO E INSTALAÇÃO. AF_12/2015</t>
  </si>
  <si>
    <t>CAIXA DE PASSAGEM 60X60X70 FUNDO BRITA COM TAMPA</t>
  </si>
  <si>
    <t>CAIXA DE PASSAGEM 40X40X50 FUNDO BRITA COM TAMPA</t>
  </si>
  <si>
    <t>TERMINAL OU CONECTOR DE PRESSAO - PARA CABO 35MM2 - FORNECIMENTO E INSTALACAO</t>
  </si>
  <si>
    <t>TERMINAL OU CONECTOR DE PRESSAO - PARA CABO 50MM2 - FORNECIMENTO E INSTALACAO</t>
  </si>
  <si>
    <t>TERMINAL AEREO EM ACO GALVANIZADO COM BASE DE FIXACAO H = 30CM</t>
  </si>
  <si>
    <t>CABO DE COBRE NU 35MM2 - FORNECIMENTO E INSTALACAO</t>
  </si>
  <si>
    <t>CABO DE COBRE NU 50MM2 - FORNECIMENTO E INSTALACAO</t>
  </si>
  <si>
    <t>ELETRODUTO RÍGIDO ROSCÁVEL, PVC, DN 32 MM (1"), PARA CIRCUITOS TERMINAIS, INSTALADO EM PAREDE - FORNECIMENTO E INSTALAÇÃO. AF_12/2015</t>
  </si>
  <si>
    <t xml:space="preserve">REATERRO DE VALA COM COMPACTAÇÃO MANUAL                             </t>
  </si>
  <si>
    <t>CAIXA RETANGULAR 4" X 2" MÉDIA (1,30 M DO PISO), PVC, INSTALADA EM PAREDE - FORNECIMENTO E INSTALAÇÃO. AF_12/2015</t>
  </si>
  <si>
    <t>PINTURA ACRILICA PARA SINALIZAÇÃO HORIZONTAL EM PISO CIMENTADO</t>
  </si>
  <si>
    <t>VÁLVULA DE RETENÇÃO HORIZONTAL Ø 65MM (2.1/2") - FORNECIMENTO E INSTALAÇÃO</t>
  </si>
  <si>
    <t>VÁLVULA DE PÉ COM CRIVO Ø 65MM (2.1/2") - FORNECIMENTO E INSTALAÇÃO</t>
  </si>
  <si>
    <t>PLANILHA DE QUANTIFICAÇÃO</t>
  </si>
  <si>
    <t>PROJETO</t>
  </si>
  <si>
    <t>SERVIÇOS E CARACTERÍSTICAS</t>
  </si>
  <si>
    <t xml:space="preserve">VERGA BLOCOS EDUCACIONAIS  PORTAS </t>
  </si>
  <si>
    <t>32,50+9,60</t>
  </si>
  <si>
    <t>VERGA JANELAS ( VÃOS &gt;  1,5 m)</t>
  </si>
  <si>
    <t>64,50+92,40+2,30+13,30+ 12,30</t>
  </si>
  <si>
    <t>VERGA JANELAS ( VÃOS &lt; 1,5 m)</t>
  </si>
  <si>
    <t>CONTRA VERGA   JANELAS ( VÃOS &gt;  1,5 m)</t>
  </si>
  <si>
    <t>90,30+109,20+2,90</t>
  </si>
  <si>
    <t xml:space="preserve">M </t>
  </si>
  <si>
    <t>CONTRA VERGA  JANELAS ( VÃOS &lt; 1,5 m)</t>
  </si>
  <si>
    <t xml:space="preserve">P2 - Porta Metálica - 1 Folha - 0,90 x 2,10 </t>
  </si>
  <si>
    <t>P1 - Porta de Alumínio - 1 Folha - 0,80 x 1,70</t>
  </si>
  <si>
    <t>P4 - Porta Metálica c/ barra PCD - 1 Folha - 0,90 x 2,10</t>
  </si>
  <si>
    <t>Banheiros</t>
  </si>
  <si>
    <t>P3 - Porta Metálica - 1 Folha c/ visor - 0,90 x 2,10</t>
  </si>
  <si>
    <t>Banheiros PCD</t>
  </si>
  <si>
    <t>P5 - Porta de Vidro - 2 Folhas - 1,0 x 2,10</t>
  </si>
  <si>
    <t>Secretaria</t>
  </si>
  <si>
    <t>P6 - Porta de Vidro - 1 Folha - 1,0 x 2,10</t>
  </si>
  <si>
    <t>Biblioteca</t>
  </si>
  <si>
    <t>Bilioteca + Sala de Aula + Lab. De Física + Lab. De Química + Sala de Reunião + Cordenadoria + Sala de Informática + Sala Articulada</t>
  </si>
  <si>
    <t>Sala de Aula + Lab. De Física + Lab. De Química + Sala dos Professores + Sala de Reunião + Diretoria + Sala de Informática + Sala Articulada</t>
  </si>
  <si>
    <t>Sala dos Professores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</si>
  <si>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</si>
  <si>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SDC01025</t>
  </si>
  <si>
    <t>(COMPOSIÇÃO REPRESENTATIVA) DO SERVIÇO DE REVESTIMENTO CERÂMICO PARA PAREDES INTERNAS, MEIA PAREDE, OU PAREDE INTEIRA, PLACAS GRÊS OU SEMI-GRÊS DE 20X20 CM, PARA EDIFICAÇÕES HABITACIONAIS UNIFAMILIAR (CASAS) E EDIFICAÇÕES PÚBLICAS PADRÃO. AF_11/2014</t>
  </si>
  <si>
    <t>IMPERMEABILIZACAO DE SUPERFICIE COM EMULSAO ASFALTICA A BASE D'AGUA</t>
  </si>
  <si>
    <t>REVESTIMENTO CERÂMICO PARA PISO COM PLACAS TIPO PORCELANATO DE DIMENSÕES 60X60 CM APLICADA EM AMBIENTES DE ÁREA MAIOR QUE 10 M². AF_06/2014</t>
  </si>
  <si>
    <t>MUROS, CERCAS, FECHAMENTOS E CALÇADAS DE ÁREAS DE CONVIVENCIA</t>
  </si>
  <si>
    <t>APLICAÇÃO MANUAL DE PINTURA COM TINTA LÁTEX PVA EM PAREDES, DUAS DEMÃOS. AF_06/2014</t>
  </si>
  <si>
    <t>PINTURA INTERNA E EXTERNA</t>
  </si>
  <si>
    <t>APLICAÇÃO E LIXAMENTO DE MASSA LÁTEX EM PAREDES, DUAS DEMÃOS. AF_06/2014</t>
  </si>
  <si>
    <t>APLICAÇÃO MANUAL DE PINTURA COM TINTA LÁTEX ACRÍLICA EM PAREDES, DUAS DEMÃOS. AF_06/2014</t>
  </si>
  <si>
    <t>REVESTIMENTO CERÂMICO PARA PAREDES EXTERNAS EM PASTILHAS DE PORCELANA 5 X 5 CM (PLACAS DE 30 X 30 CM), ALINHADAS A PRUMO, APLICADO EM PANOS COM VÃOS. AF_06/2014</t>
  </si>
  <si>
    <t>SDC01014</t>
  </si>
  <si>
    <t>ESPELHO CRISTAL, ESPESSURA 4MM, COM PARAFUSOS DE FIXACAO, SEM MOLDURA</t>
  </si>
  <si>
    <t>PORTAO EM TELA ARAME GALVANIZADO N.12 MALHA 2" E MOLDURA EM TUBOS DE ACO COM DUAS FOLHAS DE ABRIR, INCLUSO FERRAGENS</t>
  </si>
  <si>
    <t>LIMPEZA FINAL DA OBRA</t>
  </si>
  <si>
    <t>PORTA EM ALUMÍNIO DE ABRIR TIPO VENEZIANA COM GUARNIÇÃO, FIXAÇÃO COM PARAFUSOS - FORNECIMENTO E INSTALAÇÃO. AF_08/2015</t>
  </si>
  <si>
    <t>SDC01029</t>
  </si>
  <si>
    <t>PORTA DE VIDRO TEMPERADO, 1,00X2,10M, ESPESSURA 10MM, INCLUSIVE ACESSORIOS</t>
  </si>
  <si>
    <t>SDC01030</t>
  </si>
  <si>
    <t>PORTA DE VIDRO TEMPERADO, 2,00X2,10M, DUAS FOLHAS, ESPESSURA 10MM, INCLUSIVE ACESSORIOS</t>
  </si>
  <si>
    <t>SDC04004</t>
  </si>
  <si>
    <t>FORNECIMENTO E INSTALAÇÃO DE PLACA DE PORTA, EM PVC, COM ESCRITA EM BRAILE, DIMENSÕES 30X10CM</t>
  </si>
  <si>
    <t>SDC04005</t>
  </si>
  <si>
    <t>FORNECIMENTO E INSTALAÇÃO DE PISO PODOTÁTIL, EM BORRACHA SINTÉTICA, 250X250MM, DIRECIONAL/ALERTA</t>
  </si>
  <si>
    <t>SDC04007</t>
  </si>
  <si>
    <t>FORNECIMENTO E INSTALAÇÃO DE BANCADA DE GRANITO NATURAL, ASSENTADO COM ARGAMASSA MISTA DE CIMENTO, CAL HIDRADATA E AREIA SEM PENEIRAR TRAÇO 1:1:6, E=2,5CM</t>
  </si>
  <si>
    <t>SDC04003</t>
  </si>
  <si>
    <t>EXECUÇÃO DE ABRIGO PROVISÓRIO PARA RESIDUOS SOLIDOS EM TIJOLO MACIÇO COM PORTÃO EM GRADE EM METALON, INCLUSIVE AZULEJO NA PARTE INTERNA CONFORME PROJETO</t>
  </si>
  <si>
    <t>SDC04009</t>
  </si>
  <si>
    <t>FORNECIMENTO E INSTALAÇÃO DE BARRA DE APOIO PARA PCD, EM AÇO INOX, 80CM</t>
  </si>
  <si>
    <t>FORNECIMENTO E INSTALAÇÃO DE EXAUSTOR AXIAL DE PAREDE DIAMETRO 30CM</t>
  </si>
  <si>
    <t>SDC01031</t>
  </si>
  <si>
    <t>FORNECIMENTO E INSTALAÇÃO DE PORTA METÁLICA, 90X2,10M, COM VISOR, CHAPA LISA Nº18, INCLUSIVE FECHADURA TIPO TRINCO ROLETE E GUARNIÇÕES - CONFORME ESPECIFICAÇÃO TÉCNICA SEDUC</t>
  </si>
  <si>
    <t>SDC01027</t>
  </si>
  <si>
    <t>FORNECIMENTO E INSTALAÇÃO DE PORTA METÁLICA, 90X2,10M, CHAPA LISA Nº18, INCLUSIVE FECHADURA TIPO TRINCO ROLETE E GUARNIÇÕES - CONFORME ESPECIFICAÇÃO TÉCNICA SEDUC</t>
  </si>
  <si>
    <t>JANELA DE ALUMÍNIO MAXIM-AR, FIXAÇÃO COM ARGAMASSA, COM VIDROS, PADRONIZADA. AF_07/2016</t>
  </si>
  <si>
    <t>SDC04010</t>
  </si>
  <si>
    <t>FORNECIMENTO E INSTALAÇÃO DE KIT CONTENDO 3 MASTROS P/ BANDEIRA EM TUBO DE AÇO GALVANIZADO 7,00M E ALTURA LIVRE 6,00M</t>
  </si>
  <si>
    <t>SDC04011</t>
  </si>
  <si>
    <t>SDC04012</t>
  </si>
  <si>
    <t>FORNECIMENTO E INSTALAÇÃO DE QUADRO DE VIDRO TEMPERADO 6MM 4X1,1M</t>
  </si>
  <si>
    <t>MÃO FRANCESA EM BARRA DE FERRO CHATO RETANGULAR 2" X 1/4", REFORÇADA, 40 X 30 CM</t>
  </si>
  <si>
    <t>FORNECIMENTO E INSTALAÇÃO DE JANELA DE ALUMÍNIO TIPO GUILHOTINA (1,50X2,00)M, C/ PASSA PRATO EM GRANITO COMP. 2,00MXLARG. 40CM, INCLUSIVE ACESSÓRIOS DE FIXAÇÃO CONFORME DETALHE SEDUC</t>
  </si>
  <si>
    <t xml:space="preserve">TELA - Q92 </t>
  </si>
  <si>
    <t>SDC01034</t>
  </si>
  <si>
    <t>TELHAMENTO COM TELHA DE AÇO/ALUMÍNIO, ONDULADA, E = 0,5 MM, COM ATÉ 2 ÁGUAS, INCLUSO IÇAMENTO</t>
  </si>
  <si>
    <t>SDC04001</t>
  </si>
  <si>
    <t>TOALHEIRO PLASTICO TIPO DISPENSER PARA PAPEL TOALHA INTERFOLHADO</t>
  </si>
  <si>
    <t>SDC02007</t>
  </si>
  <si>
    <t>JUNÇÃO 45° DE PVC BRANCO COM REDUÇÃO, PONTA BOLSA E VIROLA, Ø 100 X 50 MM</t>
  </si>
  <si>
    <t>SDC04002</t>
  </si>
  <si>
    <t>EXECUÇÃO DE ESCOVÓDROMO EM ALVENARIA. INSTALAÇÕES DE ÁGUA E ESGOTO ENCONTRAM-SE NO ITEM INSTALAÇÕES HIDRO-SANITÁRIAS</t>
  </si>
  <si>
    <t>ARQUIBANCADA</t>
  </si>
  <si>
    <t>(COMPOSIÇÃO REPRESENTATIVA) DO SERVIÇO DE ALVENARIA DE VEDAÇÃO DE BLOCOS VAZADOS DE CONCRETO DE 14X19X39CM (ESPESSURA 14CM), PARA EDIFICAÇÃO HABITACIONAL UNIFAMILIAR (CASA) E EDIFICAÇÃO PÚBLICA PADRÃO. AF_12/2014</t>
  </si>
  <si>
    <t>APLICAÇÃO DE FUNDO SELADOR ACRÍLICO EM PAREDES, UMA DEMÃO. AF_06/2014</t>
  </si>
  <si>
    <t>VERGA MOLDADA IN LOCO EM CONCRETO PARA JANELAS COM ATÉ 1,5 M DE VÃO. AF_03/2016</t>
  </si>
  <si>
    <t>VERGA MOLDADA IN LOCO EM CONCRETO PARA JANELAS COM MAIS DE 1,5 M DE VÃO. AF_03/2016</t>
  </si>
  <si>
    <t>VERGA MOLDADA IN LOCO EM CONCRETO PARA PORTAS COM ATÉ 1,5 M DE VÃO. AF_03/2016</t>
  </si>
  <si>
    <t>CONTRAVERGA MOLDADA IN LOCO EM CONCRETO PARA VÃOS DE MAIS DE 1,5 M DE COMPRIMENTO. AF_03/2016</t>
  </si>
  <si>
    <t>CONTRAVERGA MOLDADA IN LOCO EM CONCRETO PARA VÃOS DE ATÉ 1,5 M DE COMPRIMENTO. AF_03/2016</t>
  </si>
  <si>
    <t>EXECUÇÃO DE PASSEIO (CALÇADA) OU PISO DE CONCRETO COM CONCRETO MOLDADO IN LOCO, USINADO, ACABAMENTO CONVENCIONAL, ESPESSURA 6 CM, ARMADO. AF_07/2016</t>
  </si>
  <si>
    <t>PINTURA ACRILICA EM PISO CIMENTADO, TRES DEMAOS</t>
  </si>
  <si>
    <t>EXECUÇÃO DE PÁTIO/ESTACIONAMENTO EM PISO INTERTRAVADO, COM BLOCO RETANGULAR COR NATURAL DE 20 X 10 CM, ESPESSURA 6 CM. AF_12/2015</t>
  </si>
  <si>
    <t>PLANTIO DE GRAMA ESMERALDA EM ROLO</t>
  </si>
  <si>
    <t>SDC04016</t>
  </si>
  <si>
    <t>CONJUNTO PARA FUTSAL COM DUAS TRAVES OFICIAIS DE 3,00 X 2,00 M EM TUBO DE ACO GALVANIZADO 3" COM REQUADRO EM TUBO DE 1", PINTURA EM PRIMER COM TINTA ESMALTE SINTETICO E REDES DE POLIETILENO FIO 4 MM</t>
  </si>
  <si>
    <t>SDC04017</t>
  </si>
  <si>
    <t>CONJUNTO PARA QUADRA DE VOLEI COM POSTES EM TUBO DE ACO GALVANIZADO 3", H = *255* CM, PINTURA EM TINTA ESMALTE SINTETICO, REDE DE NYLON COM 2 MM, MALHA 10 X 10 CM E ANTENAS OFICIAIS EM FIBRA DE VIDRO</t>
  </si>
  <si>
    <t>SDC04018</t>
  </si>
  <si>
    <t>SUPORTE PARA TABELA DE BASQUETE DE CONCRETO ARMADO FCK = 15MPA, INCLUSIVE FORMA, ARMAÇÃO, LANÇAMENTO E DESFORMA</t>
  </si>
  <si>
    <t>SDC04019</t>
  </si>
  <si>
    <t>PAR DE TABELAS DE BASQUETE EM COMPENSADO NAVAL DE *1,80 X 1,20* M, COM ARO DE METAL E REDE (SEM SUPORTE DE FIXACAO)</t>
  </si>
  <si>
    <t>SDC04020</t>
  </si>
  <si>
    <t>EXECUÇÃO DE MURO, EM BLOCOS DE CONCRETO ESTRUTURAL, ALTURA 2,20M</t>
  </si>
  <si>
    <t>SDC02017</t>
  </si>
  <si>
    <t>BUCHA DE REDUCAO DE PVC, SOLDAVEL, CURTA COM 60 X 50 MM</t>
  </si>
  <si>
    <t>SDC02019</t>
  </si>
  <si>
    <t>BUCHA DE REDUCAO DE PVC, SOLDAVEL, CURTA COM 85 X 75 MM</t>
  </si>
  <si>
    <t>SDC02026</t>
  </si>
  <si>
    <t>SDC02029</t>
  </si>
  <si>
    <t>TÊ DE REDUÇÃO, PVC, SOLDÁVEL, DN 85MM X 75MM</t>
  </si>
  <si>
    <t>SDC02031</t>
  </si>
  <si>
    <t>TORNEIRA PRESSÃO USO GERAL</t>
  </si>
  <si>
    <t>SDC02034</t>
  </si>
  <si>
    <t>PIA DE COZINHA DE AÇO INOXIDAVEL, CUBA DUPLA, 2,00 X 0,55M</t>
  </si>
  <si>
    <t>FORNECIMENTO E INSTALAÇÃO DE CHUVEIRO LAVA-OLHOS DE EMERGÊNCIA EM AÇO GALVANIZADO COM ACIONAMENTO MANUAL E FIXAÇÃO NO PISO</t>
  </si>
  <si>
    <t>BANCADA PARA COZINHA EM AÇO INOX  NAS DIMENSÕES 2,91M X 0,60M COM 02 CUBAS EM AÇO INOX DE DIMENSÕES 0,50 X 0,45 X 0,35, INCLUSIVE TORNEIRA DE PRESSÃO PARA PIA LONGA DE PAREDE, SIFÃO METÁLICO PARA PIA E VÁLVULA DE ESCOAMENTO METÁLICA PARA PIA DE COZINHA, FIXADA SOBRE PAREDE DE ALVENARIA DE TIJOLO DE 1/2 VEZ ACABAMENTO EM AZULEJO CERAMICO ESMALTADO DE DIMENSÕES 150MM X 150MM COM REJUNTE DE COR BRANCO</t>
  </si>
  <si>
    <t>SDC02032</t>
  </si>
  <si>
    <t>FORNECIMENTO E INSTALAÇÃO TANQUE DE LAVAR DUPLO EM MÁRMORE SINTÉTICOPRETO DE DIMENSÕES 1,10 X 0,60 M ASSENTADO SOBRE ALVENARIA</t>
  </si>
  <si>
    <t>VASO SANITARIO SIFONADO CONVENCIONAL PARA PCD SEM FURO FRONTAL COM LOUÇA BRANCA SEM ASSENTO, INCLUSO CONJUNTO DE LIGAÇÃO PARA BACIA SANITÁRIA AJUSTÁVEL - FORNECIMENTO E INSTALAÇÃO. AF_10/2016</t>
  </si>
  <si>
    <t>SDC02033</t>
  </si>
  <si>
    <t>SDC02036</t>
  </si>
  <si>
    <t>TORNEIRA DE PRESSÃO CROMADA DE MESA, PARA LAVATÓRIO PCD, COM ALAVANCA DE ACIONAMENTO - FORNECIMENTO E INSTALAÇÃO</t>
  </si>
  <si>
    <t>SDC02004</t>
  </si>
  <si>
    <t>CAIXA SIFONADA DE PVC COM GRELHA BRANCA, 150 X 150 X 50 MM</t>
  </si>
  <si>
    <t>JOELHO 45 GRAUS, PVC, SERIE NORMAL, ESGOTO PREDIAL, DN 50 MM, JUNTA ELÁSTICA, FORNECIDO E INSTALADO EM PRUMADA DE ESGOTO SANITÁRIO OU VENTILAÇÃO. AF_12/2014</t>
  </si>
  <si>
    <t>JOELHO 45 GRAUS, PVC, SERIE NORMAL, ESGOTO PREDIAL, DN 75 MM, JUNTA ELÁSTICA,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</si>
  <si>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</si>
  <si>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SDC02005</t>
  </si>
  <si>
    <t>JUNÇÃO 45° DE PVC BRANCO COM REDUÇÃO, PONTA BOLSA E VIROLA, Ø 75 X 50 MM</t>
  </si>
  <si>
    <t>SDC02006</t>
  </si>
  <si>
    <t>SDC02008</t>
  </si>
  <si>
    <t>FORNECIMENTO E INSTALAÇÃO DE TERMINAL DE VENTILAÇÃO, SÉRIE NORMAL, DN 50MM</t>
  </si>
  <si>
    <t>TE DE REDUÇÃO, PVC, SOLDÁVEL, DN 75MM X 50MM, INSTALADO EM PRUMADA DE ÁGUA - FORNECIMENTO E INSTALAÇÃO. AF_12/2014</t>
  </si>
  <si>
    <t>SDC02011</t>
  </si>
  <si>
    <t>FOSSA SÉPTICA EM ALVENARIA - TIJOLO COMUM MACIÇO, DIMENSOES 350 X 180 X 150 CM (9,45M³)</t>
  </si>
  <si>
    <t>SDC04022</t>
  </si>
  <si>
    <t>FORNECIMENTO E MONTAGEM DE KIT PLAYGOUND, METALICO, CONTENDO: GIRA-GIRA 7 LUGARES; BALANÇO 4 LUGARES; ESCORREGADOR GRANDE; GANGORRA DUPLA E CASINHA CONJUGADA</t>
  </si>
  <si>
    <t>73967/001</t>
  </si>
  <si>
    <t>SDC04015</t>
  </si>
  <si>
    <t>ITENS COMPLEMENTARES</t>
  </si>
  <si>
    <t>SDC03004</t>
  </si>
  <si>
    <t>ABRAÇADEIRA TIPO "D" COM CUNHA, DIÂMETRO 1"</t>
  </si>
  <si>
    <t>SDC07001</t>
  </si>
  <si>
    <t>FORNECIMENTO E INSTALAÇÃO DE PLACA DE SINALIZAÇÃO DE EXTINTOR 20X30CM</t>
  </si>
  <si>
    <t>SDC07002</t>
  </si>
  <si>
    <t>FORNECIMENTO E INSTALAÇÃO DE PLACA DE SINALIZAÇÃO INDICATIVA, SAÍDA DE EMERGÊNCIA, SAÍDA LATERAL ESQUERDA/DIREITA/SAÍDA EM FRENTE</t>
  </si>
  <si>
    <t>SDC07003</t>
  </si>
  <si>
    <t>PLACA DE SINALIZACAO DE SEGURANCA CONTRA INCENDIO, FOTOLUMINESCENTE, RETANGULAR, *20 X 40* CM, EM PVC *2* MM ANTI-CHAMAS (SIMBOLOS, CORES E PICTOGRAMAS CONFORME NBR 13434)</t>
  </si>
  <si>
    <t>SDC07004</t>
  </si>
  <si>
    <t>FORNECIMENTO E INSTALAÇÃO DE ACIONADOR MANUAL PARA ALARME, TIPO QUEBRA VIDRO, COM MARTELO</t>
  </si>
  <si>
    <t>SDC07005</t>
  </si>
  <si>
    <t>FORNECIMENTO E INSTALAÇÃO DE SIRENE ELETRÔNICA, 12V, ALARME DE EMERGÊNCIA</t>
  </si>
  <si>
    <t>SDC07006</t>
  </si>
  <si>
    <t>FORNECIMENTO E INSTALAÇÃO DE CENTRAL DE ALARME IPA, 12 LAÇOS, SEM BATERIA</t>
  </si>
  <si>
    <t>SDC07007</t>
  </si>
  <si>
    <t>FORNECIMENTO E INSTALAÇÃO DE BATERIA SELADA PARA CENTRAL DE ALARME, 12V/5A</t>
  </si>
  <si>
    <t>SDC03005</t>
  </si>
  <si>
    <t>ABRACADEIRA EM ACO PARA AMARRACAO DE ELETRODUTOS, TIPO D, COM 3/4" E CUNHA DE FIXACAO</t>
  </si>
  <si>
    <t>SDC07008</t>
  </si>
  <si>
    <t>PLACA DE SINALIZACAO DE SEGURANCA CONTRA INCENDIO, FOTOLUMINESCENTE, RETANGULAR, *13 X 26* CM, EM PVC *2* MM ANTI-CHAMAS (SIMBOLOS, CORES E PICTOGRAMAS CONFORME NBR 13434)</t>
  </si>
  <si>
    <t>COTOVELO 90 GRAUS, EM FERRO GALVANIZADO, CONEXÃO ROSQUEADA, DN 65 (2 1/2), INSTALADO EM RESERVAÇÃO DE ÁGUA DE EDIFICAÇÃO QUE POSSUA RESERVATÓRIO DE FIBRA/FIBROCIMENTO  FORNECIMENTO E INSTALAÇÃO. AF_06/2016</t>
  </si>
  <si>
    <t>COTOVELO 45 GRAUS, EM FERRO GALVANIZADO, CONEXÃO ROSQUEADA, DN 65 (2 1/2), INSTALADO EM RESERVAÇÃO DE ÁGUA DE EDIFICAÇÃO QUE POSSUA RESERVATÓRIO DE FIBRA/FIBROCIMENTO  FORNECIMENTO E INSTALAÇÃO. AF_06/2016</t>
  </si>
  <si>
    <t>LUVA, EM FERRO GALVANIZADO, DN 65 (2 1/2"), CONEXÃO ROSQUEADA, INSTALADO EM REDE DE ALIMENTAÇÃO PARA HIDRANTE - FORNECIMENTO E INSTALAÇÃO. AF_12/2015</t>
  </si>
  <si>
    <t>TÊ, EM FERRO GALVANIZADO, CONEXÃO ROSQUEADA, DN 65 (2 1/2"), INSTALADO EM REDE DE ALIMENTAÇÃO PARA HIDRANTE - FORNECIMENTO E INSTALAÇÃO. AF_12/2015</t>
  </si>
  <si>
    <t>POSTE DE AÇO CONICO CONTÍNUO CURVO SIMPLES, FLANGEADO, COM JANELA DE INSPEÇÃO H=9M - FORNECIMENTO E INSTALACAO</t>
  </si>
  <si>
    <t>CABO DE COBRE FLEXÍVEL ISOLADO, 35 MM², ANTI-CHAMA 0,6/1,0 KV, PARA DISTRIBUIÇÃO - FORNECIMENTO E INSTALAÇÃO. AF_12/2015</t>
  </si>
  <si>
    <t>SDC03007</t>
  </si>
  <si>
    <t>SDC03008</t>
  </si>
  <si>
    <t>FORNECIMENTO E INSTALAÇÃO DE PROTETOR DE SURTO (DPS) 275V - 45KA EM QUADRO DE DISTRIBUIÇÃO.</t>
  </si>
  <si>
    <t>SDC03001</t>
  </si>
  <si>
    <t>FORNECIMENTO E INSTALAÇÃO DE VENTILADOR DE TETO, 03 PALHETAS</t>
  </si>
  <si>
    <t>TELHAMENTO COM TELHA METÁLICA TERMOACÚSTICA E = 30 MM, COM ATÉ 2 ÁGUAS, INCLUSO IÇAMENTO. AF_06/2016</t>
  </si>
  <si>
    <t>REFLETOR/PROJETOR LED, PARA ILUMINAÇÃO DE QUADRA, 150W, BIVOLT</t>
  </si>
  <si>
    <t>SDC03009</t>
  </si>
  <si>
    <t>SDC03010</t>
  </si>
  <si>
    <t>ESPELHO / PLACA DE 3 POSTOS 4" X 2", PARA INSTALACAO DE TOMADAS E INTERRUPTORES</t>
  </si>
  <si>
    <t>SDC03011</t>
  </si>
  <si>
    <t>LUMINARIA DE EMERGENCIA 30 LEDS, POTENCIA 2 W, BATERIA DE LITIO, AUTONOMIA DE 6 CR</t>
  </si>
  <si>
    <t xml:space="preserve">Pele de vidro secretaria  </t>
  </si>
  <si>
    <t>Pele de vidro da secretaria com a P5</t>
  </si>
  <si>
    <t>Pele de vidro Biblioteca</t>
  </si>
  <si>
    <t xml:space="preserve">Pele de vidro na biblioteca com a P6 </t>
  </si>
  <si>
    <t>SDC03012</t>
  </si>
  <si>
    <t>SDC02040</t>
  </si>
  <si>
    <t>EXECUÇÃO DE FILTRO ANAERÓBICO D=2M E PROFUNDIDADE=2,50M</t>
  </si>
  <si>
    <t>SDC02039</t>
  </si>
  <si>
    <t>FORNECIMENTO E INSTALAÇÃO DE PARAFUSO COM BUCHA S8</t>
  </si>
  <si>
    <t>SDC04023</t>
  </si>
  <si>
    <t>SDC03013</t>
  </si>
  <si>
    <t>FORNECIMENTO E INSTALAÇÃO DE CAIXA DE INSPEÇÃO TIPO SOLO EM PVC COM DIAMETRO 300MM, INCLUSIVE TAMPO EM FERRO FUNDIDO COM BOCAL INFERIOR QUADRADO ARTICULADO E BORDA REDONDA DE 300MM.</t>
  </si>
  <si>
    <t>SDC03014</t>
  </si>
  <si>
    <t>FORNECIMENTO E INSTALAÇÃO DE  CAIXA DE INSPEÇÃO SUSPENSA.</t>
  </si>
  <si>
    <t>FORNECIMENTO E INSTALAÇÃO DE PARAFUSO SEXTAVADO INOX 1/4" X 1" COM ARRUELA LISA ZINCADA</t>
  </si>
  <si>
    <t>SDC03015</t>
  </si>
  <si>
    <t>SDC03016</t>
  </si>
  <si>
    <t>FORNECIMENTO E INSTALAÇÃO DE CARTUCHO PARA SOLDA 150MM</t>
  </si>
  <si>
    <t>SDC03017</t>
  </si>
  <si>
    <t>FORNECIMENTO E INSTALAÇÃO DE CAIXA DE EQUIPOTENCIALIZAÇÃO 20 X 20 X10 CM</t>
  </si>
  <si>
    <t>SDC04024</t>
  </si>
  <si>
    <t>FORNECIMENTO E INSTALAÇÃO DE PELE DE VIDRO</t>
  </si>
  <si>
    <t>PLACA DE OBRA EM CHAPA DE ACO GALVANIZADO</t>
  </si>
  <si>
    <t>74209/001</t>
  </si>
  <si>
    <t>LIMPEZA MECANIZADA DE TERRENO COM REMOCAO DE CAMADA VEGETAL, UTILIZANDO MOTONIVELADORA</t>
  </si>
  <si>
    <t>LOCACAO CONVENCIONAL DE OBRA, ATRAVÉS DE GABARITO DE TABUAS CORRIDAS PONTALETADAS, COM REAPROVEITAMENTO DE 3 VEZES.</t>
  </si>
  <si>
    <t>74077/003</t>
  </si>
  <si>
    <t>EXECUÇÃO DE ALMOXARIFADO EM CANTEIRO DE OBRA EM CHAPA DE MADEIRA COMPENSADA, INCLUSO PRATELEIRAS. AF_02/2016</t>
  </si>
  <si>
    <t>EXECUÇÃO DE REFEITÓRIO EM CANTEIRO DE OBRA EM CHAPA DE MADEIRA COMPENSADA, NÃO INCLUSO MOBILIÁRIO E EQUIPAMENTOS. AF_02/2016</t>
  </si>
  <si>
    <t>TAPUME DE CHAPA DE MADEIRA COMPENSADA, E= 6MM, COM PINTURA A CAL E REAPROVEITAMENTO DE 2X</t>
  </si>
  <si>
    <t>CARGA MANUAL DE ENTULHO EM CAMINHAO BASCULANTE 6 M3</t>
  </si>
  <si>
    <t>ENTRADA PROVISORIA DE ENERGIA ELETRICA AEREA TRIFASICA 40A EM POSTE MADEIRA</t>
  </si>
  <si>
    <t>SDC04025</t>
  </si>
  <si>
    <t>SDC04027</t>
  </si>
  <si>
    <t>FORNECIMENTO E INSTALAÇÃO DE PLACA DE INAUGURAÇÃO, 40X50, EM AÇO INOXIDAVEL E ESCRITA EM BAIXO RELEVO</t>
  </si>
  <si>
    <t>TOTAL DE INSTALAÇÕES DE GÁS</t>
  </si>
  <si>
    <t>SDC04028</t>
  </si>
  <si>
    <t>EXECUÇÃO DE ABRIGO DE GÁS EM ALVENARIA DE BLOCOS CERÂMICOS, PORTÃO EM TELA DE ARAME GALVANIZADO, DIMENSÕES CONFORME PROJETO PADRÃO SEDUC</t>
  </si>
  <si>
    <t>74145/001</t>
  </si>
  <si>
    <t>TUBO DE AÇO GALVANIZADO COM COSTURA, CLASSE MÉDIA, CONEXÃO ROSQUEADA, DN 20 (3/4"), INSTALADO EM RAMAIS E SUB-RAMAIS DE GÁS - FORNECIMENTO E INSTALAÇÃO. AF_12/2015</t>
  </si>
  <si>
    <t>JOELHO 90 GRAUS, EM FERRO GALVANIZADO, CONEXÃO ROSQUEADA, DN 15 (1/2"), INSTALADO EM RAMAIS E SUB-RAMAIS DE GÁS - FORNECIMENTO E INSTALAÇÃO. AF_12/2015</t>
  </si>
  <si>
    <t>und</t>
  </si>
  <si>
    <t>JOELHO 90 GRAUS, EM FERRO GALVANIZADO, CONEXÃO ROSQUEADA, DN 20 (3/4"), INSTALADO EM RAMAIS E SUB-RAMAIS DE GÁS - FORNECIMENTO E INSTALAÇÃO. AF_12/2015</t>
  </si>
  <si>
    <t>TÊ, EM FERRO GALVANIZADO, CONEXÃO ROSQUEADA, DN 15 (1/2"), INSTALADO EM RAMAIS E SUB-RAMAIS DE GÁS - FORNECIMENTO E INSTALAÇÃO. AF_12/2015</t>
  </si>
  <si>
    <t>UNIÃO, EM FERRO GALVANIZADO, CONEXÃO ROSQUEADA, DN 20 (3/4"), INSTALADO EM RAMAIS E SUB-RAMAIS DE GÁS - FORNECIMENTO E INSTALAÇÃO. AF_12/2015</t>
  </si>
  <si>
    <t>SDC01037</t>
  </si>
  <si>
    <t>APLICAÇÃO MANUAL DE PINTURA COM TINTA ESMALTE SINTETICO BRILHO, EM PAREDES, DUAS DEMÃOS  ( Linha Pantone 3125U)</t>
  </si>
  <si>
    <t>59.0</t>
  </si>
  <si>
    <t>60.0</t>
  </si>
  <si>
    <t>61.0</t>
  </si>
  <si>
    <t>62.0</t>
  </si>
  <si>
    <t>63.0</t>
  </si>
  <si>
    <t>64.0</t>
  </si>
  <si>
    <t>65.0</t>
  </si>
  <si>
    <t>66.0</t>
  </si>
  <si>
    <t>67.0</t>
  </si>
  <si>
    <t>68.0</t>
  </si>
  <si>
    <t>POSTO DE TRANSFORMAÇÃO DE150 KVA - 13.8KV/220-127V</t>
  </si>
  <si>
    <t>9.7</t>
  </si>
  <si>
    <t>10.3</t>
  </si>
  <si>
    <t>10.4</t>
  </si>
  <si>
    <t>10.5</t>
  </si>
  <si>
    <t>10.6</t>
  </si>
  <si>
    <t>16.3</t>
  </si>
  <si>
    <t>16.5</t>
  </si>
  <si>
    <t>18.2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</si>
  <si>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</si>
  <si>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</si>
  <si>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</si>
  <si>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</si>
  <si>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</si>
  <si>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</si>
  <si>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</si>
  <si>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</si>
  <si>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</si>
  <si>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</si>
  <si>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</si>
  <si>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</si>
  <si>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</si>
  <si>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</si>
  <si>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</si>
  <si>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20.1</t>
  </si>
  <si>
    <t>20.2</t>
  </si>
  <si>
    <t>20.3</t>
  </si>
  <si>
    <t>20.4</t>
  </si>
  <si>
    <t>21.1</t>
  </si>
  <si>
    <t>21.2</t>
  </si>
  <si>
    <t>21.5</t>
  </si>
  <si>
    <t>21.7</t>
  </si>
  <si>
    <t>21.8</t>
  </si>
  <si>
    <t>21.9</t>
  </si>
  <si>
    <t>22.1</t>
  </si>
  <si>
    <t>22.2</t>
  </si>
  <si>
    <t>22.3</t>
  </si>
  <si>
    <t>22.4</t>
  </si>
  <si>
    <t>22.5</t>
  </si>
  <si>
    <t>23.1</t>
  </si>
  <si>
    <t>28.1</t>
  </si>
  <si>
    <t>24.1</t>
  </si>
  <si>
    <t>23.2</t>
  </si>
  <si>
    <t>23.3</t>
  </si>
  <si>
    <t>23.4</t>
  </si>
  <si>
    <t>24.2</t>
  </si>
  <si>
    <t>24.3</t>
  </si>
  <si>
    <t>24.4</t>
  </si>
  <si>
    <t>25.1</t>
  </si>
  <si>
    <t>25.2</t>
  </si>
  <si>
    <t>25.3</t>
  </si>
  <si>
    <t>25.4</t>
  </si>
  <si>
    <t>25.5</t>
  </si>
  <si>
    <t>26.1</t>
  </si>
  <si>
    <t>26.2</t>
  </si>
  <si>
    <t>27.1</t>
  </si>
  <si>
    <t>27.2</t>
  </si>
  <si>
    <t>27.3</t>
  </si>
  <si>
    <t>28.2</t>
  </si>
  <si>
    <t>28.3</t>
  </si>
  <si>
    <t>28.4</t>
  </si>
  <si>
    <t>30.1</t>
  </si>
  <si>
    <t>32.1</t>
  </si>
  <si>
    <t>32.2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</si>
  <si>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</si>
  <si>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</si>
  <si>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</si>
  <si>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</si>
  <si>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</si>
  <si>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</si>
  <si>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</si>
  <si>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</si>
  <si>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</si>
  <si>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</si>
  <si>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34.2</t>
  </si>
  <si>
    <t>34.3</t>
  </si>
  <si>
    <t>34.4</t>
  </si>
  <si>
    <t>34.5</t>
  </si>
  <si>
    <t>34.6</t>
  </si>
  <si>
    <t>34.7</t>
  </si>
  <si>
    <t>34.8</t>
  </si>
  <si>
    <t>35.1</t>
  </si>
  <si>
    <t>35.2</t>
  </si>
  <si>
    <t>35.3</t>
  </si>
  <si>
    <t>35.4</t>
  </si>
  <si>
    <t>35.5</t>
  </si>
  <si>
    <t>35.6</t>
  </si>
  <si>
    <t>36.1</t>
  </si>
  <si>
    <t>36.2</t>
  </si>
  <si>
    <t>36.3</t>
  </si>
  <si>
    <t>36.4</t>
  </si>
  <si>
    <t>36.5</t>
  </si>
  <si>
    <t>37.1</t>
  </si>
  <si>
    <t>37.2</t>
  </si>
  <si>
    <t>37.3</t>
  </si>
  <si>
    <t>40.1</t>
  </si>
  <si>
    <t>51.6</t>
  </si>
  <si>
    <t>55.2</t>
  </si>
  <si>
    <t>55.3</t>
  </si>
  <si>
    <t>58.2</t>
  </si>
  <si>
    <t>58.3</t>
  </si>
  <si>
    <t>58.4</t>
  </si>
  <si>
    <t>58.6</t>
  </si>
  <si>
    <t>59.1</t>
  </si>
  <si>
    <t>59.2</t>
  </si>
  <si>
    <t>59.3</t>
  </si>
  <si>
    <t>60.1</t>
  </si>
  <si>
    <t>60.2</t>
  </si>
  <si>
    <t>60.3</t>
  </si>
  <si>
    <t>61.1</t>
  </si>
  <si>
    <t>61.2</t>
  </si>
  <si>
    <t>61.3</t>
  </si>
  <si>
    <t>61.4</t>
  </si>
  <si>
    <t>61.5</t>
  </si>
  <si>
    <t>61.6</t>
  </si>
  <si>
    <t>62.1</t>
  </si>
  <si>
    <t>62.2</t>
  </si>
  <si>
    <t>62.3</t>
  </si>
  <si>
    <t>62.4</t>
  </si>
  <si>
    <t>63.1</t>
  </si>
  <si>
    <t>63.2</t>
  </si>
  <si>
    <t>63.3</t>
  </si>
  <si>
    <t>64.1</t>
  </si>
  <si>
    <t>64.2</t>
  </si>
  <si>
    <t>64.3</t>
  </si>
  <si>
    <t>64.4</t>
  </si>
  <si>
    <t>64.5</t>
  </si>
  <si>
    <t>65.1</t>
  </si>
  <si>
    <t>65.2</t>
  </si>
  <si>
    <t>66.1</t>
  </si>
  <si>
    <t>66.2</t>
  </si>
  <si>
    <t>67.1</t>
  </si>
  <si>
    <t>67.2</t>
  </si>
  <si>
    <t>67.3</t>
  </si>
  <si>
    <t>68.1</t>
  </si>
  <si>
    <t>SDC01039</t>
  </si>
  <si>
    <t>APLICAÇÃO MANUAL DE PINTURA COM TINTA ESMALTE SINTETICO BRILHO, EM PAREDES, DUAS DEMÃOS  ( Linha Pantone 308U)</t>
  </si>
  <si>
    <t>SINAPI</t>
  </si>
  <si>
    <t>ENGENHEIRO CIVIL DE OBRA JUNIOR COM ENCARGOS COMPLEMENTARES</t>
  </si>
  <si>
    <t>H</t>
  </si>
  <si>
    <t>MESTRE DE OBRAS COM ENCARGOS COMPLEMENTARES</t>
  </si>
  <si>
    <t>VIGIA NOTURNO COM ENCARGOS COMPLEMENTARES</t>
  </si>
  <si>
    <t>ENCARREGADO GERAL DE OBRAS COM ENCARGOS COMPLEMENTARES</t>
  </si>
  <si>
    <t>AJUDANTE DE ARMADOR COM ENCARGOS COMPLEMENTARES</t>
  </si>
  <si>
    <t>ARMADOR COM ENCARGOS COMPLEMENTARES</t>
  </si>
  <si>
    <t>ACO CA-50, 10,0 MM, VERGALHAO</t>
  </si>
  <si>
    <t>SINAPI 92919</t>
  </si>
  <si>
    <t>ARAME RECOZIDO 18 BWG, 1,25 MM (0,01 KG/M)</t>
  </si>
  <si>
    <t>SINAPI 92921</t>
  </si>
  <si>
    <t>SINAPI 92915</t>
  </si>
  <si>
    <t>SINAPI 92916</t>
  </si>
  <si>
    <t>SINAPI 92917</t>
  </si>
  <si>
    <t>SINAPI 92922</t>
  </si>
  <si>
    <t>CORTE E DOBRA DE AÇO CA-50, DIÂMETRO DE 16.0 MM, UTILIZADO EM ESTRUTURAS DIVERSAS, EXCETO LAJES. AF_12/2015</t>
  </si>
  <si>
    <t>SINAPI 74141/002</t>
  </si>
  <si>
    <t>CARPINTEIRO DE FORMAS COM ENCARGOS COMPLEMENTARES</t>
  </si>
  <si>
    <t>PEDREIRO COM ENCARGOS COMPLEMENTARES</t>
  </si>
  <si>
    <t>SERVENTE COM ENCARGOS COMPLEMENTARES</t>
  </si>
  <si>
    <t>PECA DE MADEIRA NATIVA / REGIONAL 7,5 X 7,5CM (3X3) NAO APARELHADA (P/FORMA)</t>
  </si>
  <si>
    <t>LAJE PRÉ-MOLDADA DE COBERTURA TRELIÇADA, C/ H=12CM, APOIO SIMPLES, INCLUSIVE EPS</t>
  </si>
  <si>
    <t>CONTATO</t>
  </si>
  <si>
    <t>TELEFONE</t>
  </si>
  <si>
    <t>CNPJ</t>
  </si>
  <si>
    <t>03.507.415/0008-10</t>
  </si>
  <si>
    <t>ORSE 2657</t>
  </si>
  <si>
    <t>PEDRA BRITADA N. 2 (19 A 38 MM) POSTO PEDREIRA/FORNECEDOR, SEM FRETE</t>
  </si>
  <si>
    <t>SIURB-SP 15505</t>
  </si>
  <si>
    <t>PERFIL AÇO DOBRADO, LAMINADO E CHAPARIA ASTM A 36</t>
  </si>
  <si>
    <t>SERRALHEIRO COM ENCARGOS COMPLEMENTARES</t>
  </si>
  <si>
    <t>AUXILIAR DE SERRALHEIRO COM ENCARGOS COMPLEMENTARES</t>
  </si>
  <si>
    <t>PINTOR COM ENCARGOS COMPLEMENTARES</t>
  </si>
  <si>
    <t>AJUDANTE DE ESTRUTURA METÁLICA COM ENCARGOS COMPLEMENTARES</t>
  </si>
  <si>
    <t>SOLDADOR COM ENCARGOS COMPLEMENTARES</t>
  </si>
  <si>
    <t>FUNDO ANTICORROSIVO PARA METAIS FERROSOS (ZARCAO)</t>
  </si>
  <si>
    <t>L</t>
  </si>
  <si>
    <t>SOLVENTE DILUENTE A BASE DE AGUARRAS</t>
  </si>
  <si>
    <t>MONTADOR DE ESTRUTURA METÁLICA COM ENCARGOS COMPLEMENTARES</t>
  </si>
  <si>
    <t>SINAPI 94213</t>
  </si>
  <si>
    <t>TELHADISTA COM ENCARGOS COMPLEMENTARES</t>
  </si>
  <si>
    <t>GUINDASTE HIDRÁULICO AUTOPROPELIDO, COM LANÇA TELESCÓPICA 40 M, CAPACIDADE MÁXIMA 60 T, POTÊNCIA 260 KW - CHP DIURNO. AF_03/2016</t>
  </si>
  <si>
    <t>CHP</t>
  </si>
  <si>
    <t>GUINDASTE HIDRÁULICO AUTOPROPELIDO, COM LANÇA TELESCÓPICA 40 M, CAPACIDADE MÁXIMA 60 T, POTÊNCIA 260 KW - CHI DIURNO. AF_03/2016</t>
  </si>
  <si>
    <t>CHI</t>
  </si>
  <si>
    <t>TELHA DE ACO ZINCADO ONDULADA, A = *17* MM, E = 0,5 MM, SEM PINTURA</t>
  </si>
  <si>
    <t>HASTE RETA PARA GANCHO DE FERRO GALVANIZADO, COM ROSCA 1/4 " X 30 CM PARA FIXACAO DE TELHA METALICA, INCLUI PORCA E ARRUELAS DE VEDACAO</t>
  </si>
  <si>
    <t>ARGAMASSA TRAÇO 1:3 (CIMENTO E AREIA MÉDIA), PREPARO MANUAL. AF_08/2014</t>
  </si>
  <si>
    <t>PORTA DE AÇO CHAPA 18  0,90X2,10 SEM VISOR</t>
  </si>
  <si>
    <t>Thiago</t>
  </si>
  <si>
    <t>Valdeci</t>
  </si>
  <si>
    <t>Centro Aço Metalúrgica</t>
  </si>
  <si>
    <t>26.250.326/0001-60</t>
  </si>
  <si>
    <t>SINAPI 73838/001</t>
  </si>
  <si>
    <t>VIDRACEIRO COM ENCARGOS COMPLEMENTARES</t>
  </si>
  <si>
    <t>JOGO DE FERRAGENS CROMADAS P/ PORTA DE VIDRO TEMPERADO, UMA FOLHA COMPOSTA: DOBRADICA SUPERIOR (101) E INFERIOR (103),TRINCO (502), FECHADURA (520),CONTRA FECHADURA (531),COM CAPUCHINHO</t>
  </si>
  <si>
    <t>VIDRO TEMPERADO INCOLOR E = 10 MM, SEM COLOCACAO</t>
  </si>
  <si>
    <t>MOLA HIDRAULICA DE PISO P/ VIDRO TEMPERADO 10MM</t>
  </si>
  <si>
    <t>PORTA DE AÇO CHAPA 18  0,90X2,10 COM VISOR</t>
  </si>
  <si>
    <t>Mão de Obra</t>
  </si>
  <si>
    <t>Material</t>
  </si>
  <si>
    <t>AZULEJISTA OU LADRILHISTA COM ENCARGOS COMPLEMENTARES</t>
  </si>
  <si>
    <t>REJUNTE COLORIDO, CIMENTICIO</t>
  </si>
  <si>
    <t>Sergio</t>
  </si>
  <si>
    <t>3617-5000</t>
  </si>
  <si>
    <t>Todimo</t>
  </si>
  <si>
    <t>15.375.991/0003-26</t>
  </si>
  <si>
    <t>3615-9000</t>
  </si>
  <si>
    <t>00.364.896/0001-98</t>
  </si>
  <si>
    <t>ORSE 7853</t>
  </si>
  <si>
    <t>ANTÔNIO</t>
  </si>
  <si>
    <t>PUBLIARTE PAINEIS</t>
  </si>
  <si>
    <t>MARIA</t>
  </si>
  <si>
    <t>EMPLACA COMUNICAÇÃO VISUAL</t>
  </si>
  <si>
    <t>17.786.657/0001-29</t>
  </si>
  <si>
    <t>TCPO 13 - 09500.8.6.</t>
  </si>
  <si>
    <t>PINO DE ACO COM FURO, HASTE = 27 MM (ACAO DIRETA)</t>
  </si>
  <si>
    <t>ARAME GALVANIZADO 18 BWG, 1,24MM (0,009 KG/M)</t>
  </si>
  <si>
    <t>PREGO DE ACO POLIDO COM CABECA 10 X 10 (7/8 X 17)</t>
  </si>
  <si>
    <t>PREGO DE ACO POLIDO COM CABECA 18 X 27 (2 1/2 X 10)</t>
  </si>
  <si>
    <t>SARRAFO DE MADEIRA NAO APARELHADA 2,5 X 5 CM, MACARANDUBA, ANGELIM OU EQUIVALENTE DA REGIAO</t>
  </si>
  <si>
    <t>SARRAFO DE MADEIRA APARELHADA *2 X 10* CM, MACARANDUBA, ANGELIM OU EQUIVALENTE DA REGIAO</t>
  </si>
  <si>
    <t>FORRO DE PVC, FRISADO, BRANCO, REGUA DE 10 CM, ESPESSURA DE 8 MM A 10 MM E COMPRIMENTO 6 M (SEM COLOCACAO)</t>
  </si>
  <si>
    <t>PLACA DE PORTA EM PVC 2MM, SUPERFÍCIE REVESTIDA COM ADESIVO PVC CINZA (REF. COR PANTONE 420 C), BRAILE APLICADO ABAIXO DOS TEXTOS VISUAIS E TÁTEIS, DIMENSÕES 30X10CM</t>
  </si>
  <si>
    <t>PLACA DE PORTA EM PVC, BRAILE 30X10CM</t>
  </si>
  <si>
    <t>Maria José</t>
  </si>
  <si>
    <t>Emplaca Comunicação Visual</t>
  </si>
  <si>
    <t>Imaginário Mídia Visual e Eventos</t>
  </si>
  <si>
    <t>17.856.736/0001-69</t>
  </si>
  <si>
    <t>SEINFRA C4624</t>
  </si>
  <si>
    <t>CAL HIDRATADA CH-I PARA ARGAMASSAS</t>
  </si>
  <si>
    <t>AREIA MEDIA - POSTO JAZIDA/FORNECEDOR (RETIRADO NA JAZIDA, SEM TRANSPORTE)</t>
  </si>
  <si>
    <t>CIMENTO PORTLAND COMPOSTO CP II-32</t>
  </si>
  <si>
    <t>ORSE 9418</t>
  </si>
  <si>
    <t>PISO TATIL DE ALERTA OU DIRECIONAL, DE BORRACHA, COLORIDO, 25 X 25 CM, E = 12 MM, PARA ARGAMASSA</t>
  </si>
  <si>
    <t>ARGAMASSA COLANTE AC-II</t>
  </si>
  <si>
    <t>SEINFRA C0864</t>
  </si>
  <si>
    <t>CHAPA DE MADEIRA COMPENSADA PLASTIFICADA PARA FORMA DE CONCRETO, DE 2,20 X 1,10 M, E = 12 MM</t>
  </si>
  <si>
    <t>SARRAFO DE MADEIRA NAO APARELHADA *2,5 X 10 CM, MACARANDUBA, ANGELIM OU EQUIVALENTE DA REGIAO</t>
  </si>
  <si>
    <t>ELETRODO REVESTIDO AWS - E7018, DIAMETRO IGUAL A 4,00 MM</t>
  </si>
  <si>
    <t>DESMOLDANTE PROTETOR PARA FORMAS DE MADEIRA, DE BASE OLEOSA EMULSIONADA EM AGUA</t>
  </si>
  <si>
    <t>CIMENTO PORTLAND DE ALTO FORNO (AF) CP III-32</t>
  </si>
  <si>
    <t>AREIA GROSSA - POSTO JAZIDA/FORNECEDOR (RETIRADO NA JAZIDA, SEM TRANSPORTE)</t>
  </si>
  <si>
    <t>LIXA EM FOLHA PARA FERRO, NUMERO 150</t>
  </si>
  <si>
    <t>TINTA ESMALTE SINTETICO PREMIUM FOSCO</t>
  </si>
  <si>
    <t>PEDRA BRITADA N. 0, OU PEDRISCO (4,8 A 9,5 MM) POSTO PEDREIRA/FORNECEDOR, SEM FRETE</t>
  </si>
  <si>
    <t>TUBO ACO GALVANIZADO COM COSTURA, CLASSE MEDIA, DN 2.1/2", E = *3,65* MM, PESO *6,51* KG/M (NBR 5580)</t>
  </si>
  <si>
    <t>AJUDANTE DE CARPINTEIRO COM ENCARGOS COMPLEMENTARES</t>
  </si>
  <si>
    <t>AJUDANTE ESPECIALIZADO COM ENCARGOS COMPLEMENTARES</t>
  </si>
  <si>
    <t>SAOP - MT CI0181</t>
  </si>
  <si>
    <t>ARGAMASSA TRAÇO 1:1:6 (CIMENTO, CAL E AREIA MÉDIA) PARA EMBOÇO/MASSA ÚNICA/ASSENTAMENTO DE ALVENARIA DE VEDAÇÃO, PREPARO MECÂNICO COM MISTURADOR DE EIXO HORIZONTAL DE 300 KG. AF_06/2014</t>
  </si>
  <si>
    <t>SUDECAP 13.40.59</t>
  </si>
  <si>
    <t>BARRA DE APOIO RETA, EM ACO INOX POLIDO, COMPRIMENTO 80CM, DIAMETRO MINIMO 3 CM</t>
  </si>
  <si>
    <t>ORSE 3167</t>
  </si>
  <si>
    <t>PLACA EM INOX, 40X50, ESCRITA EM BAIXO RELEVO</t>
  </si>
  <si>
    <t>RONALD</t>
  </si>
  <si>
    <t>RAWAL PLACAS</t>
  </si>
  <si>
    <t>15.353.188/0001-29</t>
  </si>
  <si>
    <t>EZEQUIEL</t>
  </si>
  <si>
    <t>REALCE PAPEL</t>
  </si>
  <si>
    <t>10.307.321/0001-97</t>
  </si>
  <si>
    <t>MG PRINT COMUNICAÇÃO VISUAL</t>
  </si>
  <si>
    <t>11.931.138/0001-20</t>
  </si>
  <si>
    <t>SINAPI 87242</t>
  </si>
  <si>
    <t>ARGAMASSA COLANTE TIPO ACIII E</t>
  </si>
  <si>
    <t>SINAPI 94582</t>
  </si>
  <si>
    <t>PISO GRANITO ASSENTADO SOBRE ARGAMASSA CIMENTO / CAL / AREIA TRACO 1:0,25:3 INCLUSIVE REJUNTE EM CIMENTO</t>
  </si>
  <si>
    <t>JANELA ALUMINIO TIPO GUILHOTINA 1,5X2,0M</t>
  </si>
  <si>
    <t>Jamil</t>
  </si>
  <si>
    <t>3364-7998</t>
  </si>
  <si>
    <t>Alumat</t>
  </si>
  <si>
    <t>10.572.049/0001-72</t>
  </si>
  <si>
    <t>3682-6920</t>
  </si>
  <si>
    <t>CNN Inox</t>
  </si>
  <si>
    <t>16.868.802/0001-58</t>
  </si>
  <si>
    <t>ALVENARIA DE VEDAÇÃO DE BLOCOS CERÂMICOS FURADOS NA HORIZONTAL DE 9X14X19CM (ESPESSURA 9CM) DE PAREDES COM ÁREA LÍQUIDA MAIOR OU IGUAL A 6M² COM VÃOS E ARGAMASSA DE ASSENTAMENTO COM PREPARO EM BETONEIRA. AF_06/2014</t>
  </si>
  <si>
    <t>ESCOVODROMO EM AÇO INOX</t>
  </si>
  <si>
    <t>Thaylon</t>
  </si>
  <si>
    <t>3685-2027</t>
  </si>
  <si>
    <t>Altinox</t>
  </si>
  <si>
    <t>25.232.385/0001-43</t>
  </si>
  <si>
    <t>3621-1109</t>
  </si>
  <si>
    <t>Metal Calhas</t>
  </si>
  <si>
    <t>04.812.606/0001-82</t>
  </si>
  <si>
    <t>ORSE 10176</t>
  </si>
  <si>
    <t>ELETRICISTA COM ENCARGOS COMPLEMENTARES</t>
  </si>
  <si>
    <t>EXAUSTOR AXIAL DE PAREDE DIAMETRO 30CM</t>
  </si>
  <si>
    <t>Leandro</t>
  </si>
  <si>
    <t>3052-4200</t>
  </si>
  <si>
    <t>Pizzatto</t>
  </si>
  <si>
    <t>04.181.115/0001-80</t>
  </si>
  <si>
    <t>Jullian</t>
  </si>
  <si>
    <t>3388-3800</t>
  </si>
  <si>
    <t>Prhimel</t>
  </si>
  <si>
    <t>04.770.552/0001-30</t>
  </si>
  <si>
    <t>AJUDANTE DE PEDREIRO COM ENCARGOS COMPLEMENTARES</t>
  </si>
  <si>
    <t>PEDRA BRITADA N. 1 (9,5 a 19 MM) POSTO PEDREIRA/FORNECEDOR, SEM FRETE</t>
  </si>
  <si>
    <t>ARMAÇÃO VERTICAL DE ALVENARIA ESTRUTURAL; DIÂMETRO DE 10,0 MM. AF_01/2015</t>
  </si>
  <si>
    <t>ANDAIME PARA ALVENARIA EM MADEIRA DE 2A</t>
  </si>
  <si>
    <t>SINAPI 86906</t>
  </si>
  <si>
    <t xml:space="preserve"> KIT PLAYGOUND, METALICO, CONTENDO: GIRA-GIRA 7 LUGARES; BALANÇO 4 LUGARES; ESCORREGADOR GRANDE; GANGORRA DUPLA E CASINHA CONJUGADA</t>
  </si>
  <si>
    <t>CLEBER</t>
  </si>
  <si>
    <t>ALEMÃO SERRALHERIA</t>
  </si>
  <si>
    <t>MARCOS</t>
  </si>
  <si>
    <t>MACOFFER METALÚRGICA E FERRAGEM</t>
  </si>
  <si>
    <t>NISEL</t>
  </si>
  <si>
    <t>NISEL COMERCIO INDUSTRIA E PRESTAÇÃO DE SERVIÇOS LTDA</t>
  </si>
  <si>
    <t>08.094.521/0001-67</t>
  </si>
  <si>
    <t>(COMPOSIÇÃO REPRESENTATIVA) DO SERVIÇO DE REVESTIMENTO CERÂMICO PARA PISO COM PLACAS TIPO GRÉS DE DIMENSÕES 35X35 CM, PARA EDIFICAÇÃO HABITACIONAL UNIFAMILIAR (CASA) E EDIFICAÇÃO PÚBLICA PADRÃO. AF_11/2014</t>
  </si>
  <si>
    <t>LAJE PRE-MOLD BETA 12 P/3,5KN/M2 VAO 4,1M INCL VIGOTAS TIJOLOS ARMADU-RA NEGATIVA CAPEAMENTO 3CM CONCRETO 15MPA ESCORAMENTO MATERIAIS E MAO DE OBRA.</t>
  </si>
  <si>
    <t>PISO EM CONCRETO 20 MPA PREPARO MECANICO, ESPESSURA 7CM, INCLUSO JUNTAS DE DILATACAO EM MADEIRA</t>
  </si>
  <si>
    <t>(COMPOSIÇÃO REPRESENTATIVA) DO SERVIÇO DE CONTRAPISO EM ARGAMASSA TRAÇO 1:4 (CIM E AREIA), EM BETONEIRA 400 L, ESPESSURA 3 CM ÁREAS SECAS E 3 CM ÁREAS MOLHADAS, PARA EDIFICAÇÃO HABITACIONAL MULTIFAMILIAR (PRÉDIO). AF_11/2014</t>
  </si>
  <si>
    <t>ENCANADOR OU BOMBEIRO HIDRÁULICO COM ENCARGOS COMPLEMENTARES</t>
  </si>
  <si>
    <t>ADESIVO PLASTICO PARA PVC, FRASCO COM 850 GR</t>
  </si>
  <si>
    <t>SOLUCAO LIMPADORA PARA PVC, FRASCO COM 1000 CM3</t>
  </si>
  <si>
    <t>LIXA D'AGUA EM FOLHA, GRAO 100</t>
  </si>
  <si>
    <t>BUCHA DE REDUCAO DE PVC, SOLDAVEL, CURTA, COM 60 X 50 MM, PARA AGUA FRIA PREDIAL</t>
  </si>
  <si>
    <t>PASTA LUBRIFICANTE PARA TUBOS E CONEXOES COM JUNTA ELASTICA (USO EM PVC, ACO, POLIETILENO E OUTROS) ( DE *400* G)</t>
  </si>
  <si>
    <t>ANEL BORRACHA PARA TUBO ESGOTO PREDIAL DN 50 MM (NBR 5688)</t>
  </si>
  <si>
    <t>BUCHA DE REDUCAO DE PVC, SOLDAVEL, LONGA, COM 60 X 25 MM, PARA AGUA FRIA PREDIAL</t>
  </si>
  <si>
    <t>BUCHA DE REDUCAO DE PVC, SOLDAVEL, LONGA, COM 85 X 60 MM, PARA AGUA FRIA PREDIAL</t>
  </si>
  <si>
    <t>ATERRO MANUAL DE VALAS COM SOLO ARGILO-ARENOSO E COMPACTAÇÃO MECANIZADA. AF_05/2016</t>
  </si>
  <si>
    <t>CORTE E DOBRA DE AÇO CA-60, DIÂMETRO DE 5.0 MM, UTILIZADO EM ESTRUTURAS DIVERSAS, EXCETO LAJES. AF_12/2015</t>
  </si>
  <si>
    <t>CORTE E DOBRA DE AÇO CA-50, DIÂMETRO DE 6.3 MM, UTILIZADO EM ESTRUTURAS DIVERSAS, EXCETO LAJES. AF_12/2015</t>
  </si>
  <si>
    <t>AUXILIAR DE ENCANADOR OU BOMBEIRO HIDRÁULICO COM ENCARGOS COMPLEMENTARES</t>
  </si>
  <si>
    <t>FITA VEDA ROSCA EM ROLOS DE 18 MM X 10 M (L X C)</t>
  </si>
  <si>
    <t>TUBO PVC, SOLDAVEL, DN 25 MM, AGUA FRIA (NBR-5648)</t>
  </si>
  <si>
    <t>ORSE 7610</t>
  </si>
  <si>
    <t>TORNEIRA CROMADA DE MESA PARA LAVATORIO TEMPORIZADA PRESSAO BICA BAIXA</t>
  </si>
  <si>
    <t>SAOP CO1104</t>
  </si>
  <si>
    <t>FITA VEDA ROSCA EM ROLOS DE 18 MM X 50 M (L X C)</t>
  </si>
  <si>
    <t>SIFAO EM METAL CROMADO PARA PIA AMERICANA, 1.1/2 X 2 "</t>
  </si>
  <si>
    <t>BANCA/PIA DE ACO INOXIDAVEL (AISI 430) COM 2 CUBAS, COM VALVULAS, ESCORREDOR DUPLO, DE *0,55 X 2,00* M</t>
  </si>
  <si>
    <t>ORSE 10041</t>
  </si>
  <si>
    <t>CRISTIANE</t>
  </si>
  <si>
    <t>LP COMERCIO E REPRESENTAÇÕES</t>
  </si>
  <si>
    <t>10.832.896/0001-29</t>
  </si>
  <si>
    <t>ANDERSON</t>
  </si>
  <si>
    <t>14.442.229/0001-90</t>
  </si>
  <si>
    <t>SIFÃO DO TIPO FLEXÍVEL EM PVC 1 X 1.1/2 - FORNECIMENTO E INSTALAÇÃO. AF_12/2013</t>
  </si>
  <si>
    <t>VÁLVULA EM METAL CROMADO TIPO AMERICANA 3.1/2" X 1.1/2" PARA PIA - FORNECIMENTO E INSTALAÇÃO. AF_12/2013</t>
  </si>
  <si>
    <t>TORNEIRA CROMADA LONGA, DE PAREDE, 1/2" OU 3/4", PARA PIA DE COZINHA, PADRÃO MÉDIO - FORNECIMENTO E INSTALAÇÃO. AF_12/2013</t>
  </si>
  <si>
    <t>BANCADA EM AÇO INOX 2,91X0,60M COM 02 CUBAS</t>
  </si>
  <si>
    <t>(COMPOSIÇÃO REPRESENTATIVA) DO SERVIÇO DE ALVENARIA DE VEDAÇÃO DE BLOCOS VAZADOS DE CERÂMICA DE 9X19X19CM (ESPESSURA 9CM), PARA EDIFICAÇÃO HABITACIONAL MULTIFAMILIAR (PRÉDIO). AF_11/2014</t>
  </si>
  <si>
    <t>TORNEIRA CROMADA 1/2" OU 3/4" PARA TANQUE, PADRÃO MÉDIO - FORNECIMENTO E INSTALAÇÃO. AF_12/2013</t>
  </si>
  <si>
    <t>VÁLVULA EM PLÁSTICO 1" PARA PIA, TANQUE OU LAVATÓRIO, COM OU SEM LADRÃO - FORNECIMENTO E INSTALAÇÃO. AF_12/2013</t>
  </si>
  <si>
    <t>ENGATE FLEXÍVEL EM PLÁSTICO BRANCO, 1/2" X 30CM - FORNECIMENTO E INSTALAÇÃO. AF_12/2013</t>
  </si>
  <si>
    <t>BEIRA RIO ACABAMENTOS</t>
  </si>
  <si>
    <t>20.939.127/0001-88</t>
  </si>
  <si>
    <t>IZABELA</t>
  </si>
  <si>
    <t>07.790.953/0002-20</t>
  </si>
  <si>
    <t>TORNEIRA DE PRESSÃO, MESA, PARA LAVATORIO PCD, COM ALAVANCA</t>
  </si>
  <si>
    <t>ODAIR</t>
  </si>
  <si>
    <t>VERDÃO MATERIAIS PARA CONSTRUÇÃO</t>
  </si>
  <si>
    <t>37.432.150/0001-84</t>
  </si>
  <si>
    <t>ROBERTO</t>
  </si>
  <si>
    <t>TODIMO MATERIAIS PARA CONSTRUÇÃO</t>
  </si>
  <si>
    <t>ORSE 9503</t>
  </si>
  <si>
    <t>DUCHA HIGIENICA PLASTICA COM REGISTRO METALICO 1/2 "</t>
  </si>
  <si>
    <t>CAIXA SIFONADA PVC, 150 X 150 X 50 MM, COM GRELHA QUADRADA BRANCA (NBR 5688)</t>
  </si>
  <si>
    <t>ANEL BORRACHA PARA TUBO ESGOTO PREDIAL, DN 100 MM (NBR 5688)</t>
  </si>
  <si>
    <t>ANEL BORRACHA PARA TUBO ESGOTO PREDIAL DN 75 MM (NBR 5688)</t>
  </si>
  <si>
    <t>REDUCAO EXCENTRICA PVC P/ ESG PREDIAL DN 100 X 50MM</t>
  </si>
  <si>
    <t>ORSE 1666</t>
  </si>
  <si>
    <t>TERMINAL DE VENTILACAO, 50 MM, SERIE NORMAL, ESGOTO PREDIAL</t>
  </si>
  <si>
    <t>LASTRO COM PREPARO DE FUNDO, LARGURA MAIOR OU IGUAL A 1,5 M, COM CAMADA DE BRITA, LANÇAMENTO MANUAL, EM LOCAL COM NÍVEL BAIXO DE INTERFERÊNCIA. AF_06/2016</t>
  </si>
  <si>
    <t>ARMACAO EM TELA DE ACO SOLDADA NERVURADA Q-138, ACO CA-60, 4,2MM, MALHA 10X10CM</t>
  </si>
  <si>
    <t>TAMPAO FOFO ARTICULADO, CLASSE B125 CARGA MAX 12,5 T, REDONDO TAMPA 600 MM, REDE PLUVIAL/ESGOTO, P = CHAMINE CX AREIA / POCO VISITA ASSENTADO COM ARG CIM/AREIA 1:4, FORNECIMENTO E ASSENTAMENTO</t>
  </si>
  <si>
    <t>ALVENARIA EM TIJOLO CERAMICO MACICO 5X10X20CM 1/2 VEZ (ESPESSURA 10CM), ASSENTADO COM ARGAMASSA TRACO 1:2:8 (CIMENTO, CAL E AREIA)</t>
  </si>
  <si>
    <t>LASTRO COM PREPARO DE FUNDO, LARGURA MAIOR OU IGUAL A 1,5 M, COM CAMADA DE BRITA, LANÇAMENTO MANUAL, EM LOCAL COM NÍVEL ALTO DE INTERFERÊNCIA. AF_06/2016</t>
  </si>
  <si>
    <t>ARMACAO EM TELA DE ACO SOLDADA NERVURADA Q-196, ACO CA-60, 5,0MM, MALHA 10X10CM</t>
  </si>
  <si>
    <t>FORNECIMENTO E ASSENTAMENTO DE TUBO DE CONCRETO  DIÂMETRO DE 2000 MM</t>
  </si>
  <si>
    <t>LEITO FILTRANTE - FORN.E ENCHIMENTO C/ BRITA NO. 4</t>
  </si>
  <si>
    <t>FABRICAÇÃO DE FÔRMA PARA LAJES, EM CHAPA DE MADEIRA COMPENSADA PLASTIFICADA, E = 18 MM. AF_12/2015</t>
  </si>
  <si>
    <t>ALAMBRADO EM MOUROES DE CONCRETO "T", ALTURA LIVRE 2M, ESPACADOS A CADA 2M, COM TELA DE ARAME GALVANIZADO, FIO 14 BWG E MALHA QUADRADA 5X5CM</t>
  </si>
  <si>
    <t>PORTAO DE FERRO COM VARA 1/2", COM REQUADRO</t>
  </si>
  <si>
    <t>APLICAÇÃO DE FUNDO SELADOR ACRÍLICO EM TETO, UMA DEMÃO. AF_06/2014</t>
  </si>
  <si>
    <t>PINTURA ESMALTE ACETINADO, DUAS DEMAOS, SOBRE SUPERFICIE METALICA</t>
  </si>
  <si>
    <t>FORNECIMENTO E INSTALAÇÃO BATERIA GÁS 2 P45</t>
  </si>
  <si>
    <t>Paulo</t>
  </si>
  <si>
    <t>3624-1044</t>
  </si>
  <si>
    <t>CHAMA AZUL</t>
  </si>
  <si>
    <t>00.123.322/0002-09</t>
  </si>
  <si>
    <t>LUMINARIA TIPO CALHA, DE SOBREPOR, COM LAMPADA TUBULAR LED 2X20W COM FLUXO LUMINOSO MÍNIMO DE 4400 LÚMENS, COMPLETA, FORNECIMENTO E INSTALACAO</t>
  </si>
  <si>
    <t xml:space="preserve">SINAPI 73953/002 </t>
  </si>
  <si>
    <t>ORSE 811</t>
  </si>
  <si>
    <t>VENTILADOR 3 PÁS</t>
  </si>
  <si>
    <t>AUXILIAR DE ELETRICISTA COM ENCARGOS COMPLEMENTARES</t>
  </si>
  <si>
    <t>ORSE 10355</t>
  </si>
  <si>
    <t>BARRA NEUTRO 12 FUROS AZUL</t>
  </si>
  <si>
    <t>CELSO</t>
  </si>
  <si>
    <t>SELCO COMERCIO DE MATERIAIS ELÉTRICOS LTDA</t>
  </si>
  <si>
    <t>BEZERRA</t>
  </si>
  <si>
    <t>TO LIGADO MATERIAIS ELETRICOS</t>
  </si>
  <si>
    <t>07.237.858/0001-13</t>
  </si>
  <si>
    <t>ALESSANDRA</t>
  </si>
  <si>
    <t>11.138.453/0001-03</t>
  </si>
  <si>
    <t>BARRA NEUTRO 12 FUROS VERDE</t>
  </si>
  <si>
    <t>QUADRO DE COMANDO, EM CAHAPA DE AÇO, 1200X800X250MM</t>
  </si>
  <si>
    <t>LEANDRO</t>
  </si>
  <si>
    <t>PIZZATTO MATERIAIS ELÉTRICOS</t>
  </si>
  <si>
    <t>BARRA CHATA, COBRE, 1. 1/4 x 1/4 - 449A</t>
  </si>
  <si>
    <t>ORSE 9042</t>
  </si>
  <si>
    <t xml:space="preserve">DPS - DISP PROT SURTOS 45KA </t>
  </si>
  <si>
    <t>DPS - DISP PROT SURTOS 45KA</t>
  </si>
  <si>
    <t>Sergio Luiz</t>
  </si>
  <si>
    <t>3618-2500</t>
  </si>
  <si>
    <t>Eletro Fios</t>
  </si>
  <si>
    <t>37.470.911/0001-92</t>
  </si>
  <si>
    <t>Alessandra</t>
  </si>
  <si>
    <t>3634-6949</t>
  </si>
  <si>
    <t>Rededistribuidora</t>
  </si>
  <si>
    <t>Wemerson</t>
  </si>
  <si>
    <t>3321-0009</t>
  </si>
  <si>
    <t xml:space="preserve">Hidro e Eletrica Moura </t>
  </si>
  <si>
    <t>08.954.892/0001-71</t>
  </si>
  <si>
    <t>ORSE 10638</t>
  </si>
  <si>
    <t>PATRICIA</t>
  </si>
  <si>
    <t>3M COMERCIO DE MATERIAIS ELÉTRICOS</t>
  </si>
  <si>
    <t>PHIMEL ELÉTRICA E ILUMINAÇÃO</t>
  </si>
  <si>
    <t>CAMILA</t>
  </si>
  <si>
    <t>SÓ LED PAINÉIS E ILUMINAÇÃO</t>
  </si>
  <si>
    <t>18.453.093/0001-75</t>
  </si>
  <si>
    <t>GUINDASTE HIDRÁULICO AUTOPROPELIDO, COM LANÇA TELESCÓPICA 28,80 M, CAPACIDADE MÁXIMA 30 T, POTÊNCIA 97 KW, TRAÇÃO 4 X 4 - DEPRECIAÇÃO. AF_11/2014</t>
  </si>
  <si>
    <t>POSTE DE CONCRETO ARMADO, SEÇÃO DT 10/1000</t>
  </si>
  <si>
    <t>PARAFUSO M16 EM ACO GALVANIZADO, COMPRIMENTO = 125 MM, DIAMETRO = 16 MM, ROSCA MAQUINA, CABECA QUADRADA</t>
  </si>
  <si>
    <t>PARAFUSO, CABEÇA QUADRADA 100X16MM</t>
  </si>
  <si>
    <t>SAPATILHA EM ACO GALVANIZADO PARA CABOS COM DIAMETRO NOMINAL ATE 5/8"</t>
  </si>
  <si>
    <t>OLHAL PARA PARAFUSO TIPO M16 ( BITOLA 5/8")</t>
  </si>
  <si>
    <t>ISOLADOR ANCORAGEM TIPO POLIMÉRICO ISOLAÇÃO 15KV 18MM</t>
  </si>
  <si>
    <t>MANILHA SAPATILHA</t>
  </si>
  <si>
    <t>GANCHO SUSPENSÃO OLHAL EM AÇO GALVANIZADO ESPESSURA 16MM, ABERTURA 21MM</t>
  </si>
  <si>
    <t>PERFIL U PARA REDE COMPACTADA</t>
  </si>
  <si>
    <t>FIXADOR DE PERFIL U PARA REDE COMPACTADA</t>
  </si>
  <si>
    <t>PARA-RAIO DE DISTRIBUIÇÃO 12KV, POLIMÉRICO, 10 KA</t>
  </si>
  <si>
    <t>CRUZETA DE CONCRETO 90X90X2000MM, 250 DAN, RETANGULAR</t>
  </si>
  <si>
    <t>CHAVE FUSÍVEL TIPO C 15KV, 10KA</t>
  </si>
  <si>
    <t>ELO FUSIVEL 8K</t>
  </si>
  <si>
    <t>MÃO FRANCESA PLANA DE 619X32X5MM</t>
  </si>
  <si>
    <t>SUPORTE DE TRANSFORMAÇÃO CHAPA 360X76X10MM PARA POSTE DUPLO T</t>
  </si>
  <si>
    <t>ARRUELA QUADRADA, EM AÇO GALVANIZADO, D=38MM, ESP.=3MM, ABERTURA 8MM</t>
  </si>
  <si>
    <t>ARRUELA ESPAÇADORA</t>
  </si>
  <si>
    <t>PROTETOR DE BUCHA DE AT DE TRANSFORMADOR - 15KV</t>
  </si>
  <si>
    <t>TRANSFORMADOR TRIFÁSICO 150KVA - 13,8KV - 220/127V</t>
  </si>
  <si>
    <t>CAIXA DE MEDIÇÃO INDIRETA +TC + DISJUNTOR (PADRÃO ENERGISA)</t>
  </si>
  <si>
    <t>FABRICAÇÃO DE FÔRMA PARA LAJES, EM MADEIRA SERRADA, E=25 MM. AF_12/2015</t>
  </si>
  <si>
    <t>DISJUNTOR TERMOMAGNETICO TRIPOLAR 400 A / 600 V, TIPO JXD / ICC - 40 KA</t>
  </si>
  <si>
    <t>ARAME GALVANIZADO 12 BWG, 2,76 MM (0,048 KG/M)</t>
  </si>
  <si>
    <t>PARAFUSO M16 EM ACO GALVANIZADO, COMPRIMENTO = 300 MM, DIAMETRO = 16 MM, ROSCA MAQUINA, CABECA QUADRADA</t>
  </si>
  <si>
    <t>PARAFUSO M16 EM ACO GALVANIZADO, COMPRIMENTO = 350 MM, DIAMETRO = 16 MM, ROSCA MAQUINA, CABECA QUADRADA</t>
  </si>
  <si>
    <t>ALÇA PRÉ-FORMADA PARA CABO 6,4MM²</t>
  </si>
  <si>
    <t>GRAMPO DE ANCORAGEM PARA CABO COBERTO DE 15KV 35MM</t>
  </si>
  <si>
    <t>CABO DE COBRE NU 35 MM2 MEIO-DURO</t>
  </si>
  <si>
    <t>CABO DE COBRE NU 50 MM2 MEIO-DURO</t>
  </si>
  <si>
    <t>SOLDA EXOTERMICA 90</t>
  </si>
  <si>
    <t>CONECTOR TIPO II VD X (10/25MM)</t>
  </si>
  <si>
    <t>CABO XLPE 16MM, 15KV RIGIDO</t>
  </si>
  <si>
    <t>CONECTOR DERIVAÇÃO CUNHA TIPO ESTRIBO NORMAL (626222-1 - AMP - VERMELHO)</t>
  </si>
  <si>
    <t>GRAMPO LINHA VIVA GLV-95 ALUMINIO</t>
  </si>
  <si>
    <t>CAPA PROTETORA PARA CONECTOR CUNHA - APLICAÇÃO EM CONECTORES PARA CABOS CA DE 35 A 185 MM²</t>
  </si>
  <si>
    <t>CARTUCHO PARA CONECTOR CUNHA (VERMELHO)</t>
  </si>
  <si>
    <t>ELETRODUTO DE PVC RIGIDO ROSCAVEL DE 1/2 ", SEM LUVA</t>
  </si>
  <si>
    <t>ARRUELA EM ALUMINIO, COM ROSCA, DE 4", PARA ELETRODUTO</t>
  </si>
  <si>
    <t>BUCHA EM ALUMINIO, COM ROSCA, DE 4", PARA ELETRODUTO</t>
  </si>
  <si>
    <t>TERMINAL A COMPRESSAO EM COBRE ESTANHADO PARA CABO 35 MM2, 1 FURO E 1 COMPRESSAO, PARA PARAFUSO DE FIXACAO M8</t>
  </si>
  <si>
    <t>CABEÇOTE DE AÇO GALVANIZADO DE 4" (100MM)</t>
  </si>
  <si>
    <t>CURVA 90 GRAUS DE FERRO GALVANIZADO, COM ROSCA BSP FEMEA, DE 4"</t>
  </si>
  <si>
    <t>TERMINAL METALICO A PRESSAO PARA 1 CABO DE 120 MM2, COM 1 FURO DE FIXACAO</t>
  </si>
  <si>
    <t>Poste de concreto armado, seção DT 10/1000</t>
  </si>
  <si>
    <t>Ailton</t>
  </si>
  <si>
    <t>3661-6383</t>
  </si>
  <si>
    <t>SMA Sistema de Montagem e Automação</t>
  </si>
  <si>
    <t>05.361.219/0001-30</t>
  </si>
  <si>
    <t>01/2017</t>
  </si>
  <si>
    <t>Amaral</t>
  </si>
  <si>
    <t>3661-7232</t>
  </si>
  <si>
    <t>Dambros Elétrica e Ferragens Ltda-ME</t>
  </si>
  <si>
    <t>11.113.763/0001-65</t>
  </si>
  <si>
    <t>Odenir</t>
  </si>
  <si>
    <t>Pizzatto Materiais Elétricos</t>
  </si>
  <si>
    <t>Parafuso, cabeça quadrada 100x16mm</t>
  </si>
  <si>
    <t>Celso</t>
  </si>
  <si>
    <t>3027-9000</t>
  </si>
  <si>
    <t>Selco Comercio de Materiais Elétricos Ltda</t>
  </si>
  <si>
    <t>07.624.206/0001-31</t>
  </si>
  <si>
    <t>Olhal para parafuso tipo M16 ( bitola 5/8")</t>
  </si>
  <si>
    <t>Isolador ancoragem tipo polimérico isolação 15KV 18mm</t>
  </si>
  <si>
    <t>Manilha sapatilha</t>
  </si>
  <si>
    <t>Gancho suspensão olhal em aço galvanizado espessura 16mm, abertura 21mm</t>
  </si>
  <si>
    <t>Perfil U para rede compactada</t>
  </si>
  <si>
    <t>Fixador de perfil U para rede compactada</t>
  </si>
  <si>
    <t>Para-raio de distribuição 12KV, polimérico, 10 KA</t>
  </si>
  <si>
    <t>Cruzeta de concreto 90x90x2000mm, 250 daN, retangular</t>
  </si>
  <si>
    <t>Chave fusível tipo C 15KV, 10KA</t>
  </si>
  <si>
    <t>Elo fusivel 8K</t>
  </si>
  <si>
    <t>Mão francesa plana de 619x32x5mm</t>
  </si>
  <si>
    <t>Suporte de transformação chapa 360x76x10mm para poste duplo T</t>
  </si>
  <si>
    <t>Arruela quadrada, em aço galvanizado, d=38mm, esp.=3mm, abertura 8mm</t>
  </si>
  <si>
    <t>Arruela espaçadora</t>
  </si>
  <si>
    <t>Protetor de bucha de AT de transformador - 15KV</t>
  </si>
  <si>
    <t>Transformador trifásico 150Kva - 13,8Kv - 220/127V</t>
  </si>
  <si>
    <t>Kellen</t>
  </si>
  <si>
    <t>Trael Transformadores Elétricos</t>
  </si>
  <si>
    <t>37.457.942/0001-03</t>
  </si>
  <si>
    <t>Caixa de medição indireta +TC + disjuntor (padrão Energisa)</t>
  </si>
  <si>
    <t>Alça pré-formada para cabo 6,4mm²</t>
  </si>
  <si>
    <t>Grampo de ancoragem para cabo coberto de 15Kv 35mm</t>
  </si>
  <si>
    <t>Solda exotermica 90</t>
  </si>
  <si>
    <t>3025-4300</t>
  </si>
  <si>
    <t>To Ligado Materiais Eletricos</t>
  </si>
  <si>
    <t>Conector tipo II vd x (10/25mm)</t>
  </si>
  <si>
    <t>Cabo XLPE 16mm, 15Kv rigido</t>
  </si>
  <si>
    <t>Conector derivação cunha tipo estribo normal (626222-1 - AMP - vermelho)</t>
  </si>
  <si>
    <t>Grampo linha viva GLV-95 aluminio</t>
  </si>
  <si>
    <t>Capa protetora para conector cunha - aplicação em conectores para cabos CA de 35 a 185 mm²</t>
  </si>
  <si>
    <t>Cartucho para conector cunha (vermelho)</t>
  </si>
  <si>
    <t>Cabeçote de aço galvanizado de 4" (100mm)</t>
  </si>
  <si>
    <t>Sérgio</t>
  </si>
  <si>
    <t>3643-6443</t>
  </si>
  <si>
    <t>To Ligado Materiais Elétricos</t>
  </si>
  <si>
    <t>Altemar</t>
  </si>
  <si>
    <t>3634-5253</t>
  </si>
  <si>
    <t>Petel</t>
  </si>
  <si>
    <t>22.760.075/0001-03</t>
  </si>
  <si>
    <t>Eletroduto de aço com costura galvanizado a fogo, diam. 4", barra de 3 metros</t>
  </si>
  <si>
    <t>ORSE 10620</t>
  </si>
  <si>
    <t>BUCHA DE NYLON SEM ABA S8, COM PARAFUSO DE 4,80 X 50 MM EM ACO ZINCADO COM ROSCA SOBERBA, CABECA CHATA E FENDA PHILLIPS</t>
  </si>
  <si>
    <t>ORSE 4718</t>
  </si>
  <si>
    <t>Fernando</t>
  </si>
  <si>
    <t>Hidro eletrica Moura</t>
  </si>
  <si>
    <t>3634-1717</t>
  </si>
  <si>
    <t>22.760.075/0001-30</t>
  </si>
  <si>
    <t>CAIXA DE INSPEÇÃO SUSPENSA</t>
  </si>
  <si>
    <t>ORSE 10426</t>
  </si>
  <si>
    <t>CARTUCHO PARA SOLDA 150MM</t>
  </si>
  <si>
    <t>CAIXA EQUALIZADOR 20X20</t>
  </si>
  <si>
    <t>SEDOP 241468</t>
  </si>
  <si>
    <t>PLACA DE SINALIZAÇÃO DE EXTINTOR 20X30CM</t>
  </si>
  <si>
    <t>Carla</t>
  </si>
  <si>
    <t>Hidro Elétrica Moura</t>
  </si>
  <si>
    <t>IOPES 160612</t>
  </si>
  <si>
    <t>BUCHA DE NYLON SEM ABA S6, COM PARAFUSO DE 4,20 X 40 MM EM ACO ZINCADO COM ROSCA SOBERBA, CABECA CHATA E FENDA PHILLIPS</t>
  </si>
  <si>
    <t>PLACA DE SINALIZAÇÃO INDICATIVA, SAÍDA DE EMERGÊNCIA, SAÍDA LATERAL ESQUERDA/DIREITA/SAÍDA EM FRENTE</t>
  </si>
  <si>
    <t>THIAGO</t>
  </si>
  <si>
    <t>PETEL MATERIAIS ELÉTRICOS</t>
  </si>
  <si>
    <t>CARLA</t>
  </si>
  <si>
    <t>HIDRO E ELÉTRICA MOURA LTDA EPP</t>
  </si>
  <si>
    <t>JULLIAN</t>
  </si>
  <si>
    <t>PHIMEL ELÉTRICA E HIDRÁULICA EIRELI - ME</t>
  </si>
  <si>
    <t>ORSE 7861</t>
  </si>
  <si>
    <t>ACIONADOR MANUAL PARA ALARME, TIPO QUEBRA VIDRO, COM MARTELO</t>
  </si>
  <si>
    <t>ORSE 8503</t>
  </si>
  <si>
    <t>SIRENE ELETRÔNICA, 12V, ALARME DE EMERGÊNCIA</t>
  </si>
  <si>
    <t>SUPERTEC PEÇAS E SERVIÇOS</t>
  </si>
  <si>
    <t>ORSE 8058</t>
  </si>
  <si>
    <t>CENTRAL DE ALARME IPA, 12 LAÇOS, SEM BATERIA</t>
  </si>
  <si>
    <t>ORSE 8693</t>
  </si>
  <si>
    <t>BATERIA SELADA PARA CENTRAL DE ALARME, 12V/5A</t>
  </si>
  <si>
    <t>SAOP-MT CP0441</t>
  </si>
  <si>
    <t>IOPES 160322</t>
  </si>
  <si>
    <t>ABRACADEIRA EM ACO PARA AMARRACAO DE ELETRODUTOS, TIPO D, COM 1" E CUNHA DE FIXACAO</t>
  </si>
  <si>
    <t>42.2</t>
  </si>
  <si>
    <t>42.3</t>
  </si>
  <si>
    <t>42.4</t>
  </si>
  <si>
    <t>51.9</t>
  </si>
  <si>
    <t>59.4</t>
  </si>
  <si>
    <t>59.5</t>
  </si>
  <si>
    <t>59.6</t>
  </si>
  <si>
    <t>64.6</t>
  </si>
  <si>
    <t>64.7</t>
  </si>
  <si>
    <t>64.8</t>
  </si>
  <si>
    <t>64.9</t>
  </si>
  <si>
    <t>64.10</t>
  </si>
  <si>
    <t>64.11</t>
  </si>
  <si>
    <t>65.3</t>
  </si>
  <si>
    <t>65.4</t>
  </si>
  <si>
    <t>68.2</t>
  </si>
  <si>
    <t>69.0</t>
  </si>
  <si>
    <t>69.1</t>
  </si>
  <si>
    <t>PINTURA ESMALTE FOSCO, DUAS DEMAOS, SOBRE SUPERFICIE METALICA</t>
  </si>
  <si>
    <t>73924/003</t>
  </si>
  <si>
    <t>TAMPA EM CONCRETO ARMADO 60X60X5CM P/CX INSPECAO/FOSSA SEPTICA</t>
  </si>
  <si>
    <t>ORSE 8739</t>
  </si>
  <si>
    <t>PARAFUSO ZINCADO, SEXTAVADO, COM ROSCA INTEIRA, DIAMETRO 5/8", COMPRIMENTO 2 1/4"</t>
  </si>
  <si>
    <t>PROJETOR LED 150W BIVOLT</t>
  </si>
  <si>
    <t>ADRIANA</t>
  </si>
  <si>
    <t>ART E LUZ</t>
  </si>
  <si>
    <t>15.059.263/0001-43</t>
  </si>
  <si>
    <t>CAIXA DE PASSAGEM METALICA DE SOBREPOR COM TAMPA PARAFUSADA, DIMENSOES 15 X 15 X 10 CM</t>
  </si>
  <si>
    <t>SDC05003</t>
  </si>
  <si>
    <t>CONTAINER 2,30 X 4,30 M, ALT. 2,50 M, P/ SANITARIO, C/ 5 BACIAS, 1 LAVATORIO E 4 MICTORIOS (LOCACAO)</t>
  </si>
  <si>
    <t>MÊS</t>
  </si>
  <si>
    <t>SDC05004</t>
  </si>
  <si>
    <t>LIGAÇÃO PROVISÓRIA DE ÁGUA E SANITÁRIO</t>
  </si>
  <si>
    <t>HIDROMETRO UNIJATO, VAZAO MAXIMA DE 5,0 M3/H, DE 3/4"</t>
  </si>
  <si>
    <t>TABUA MADEIRA 2A QUALIDADE 2,5 X 30,0CM (1 X 12") NAO APARELHADA</t>
  </si>
  <si>
    <t>VIGA DE MADEIRA NAO APARELHADA 6 X 12 CM, MACARANDUBA, ANGELIM OU EQUIVALENTE DA REGIAO</t>
  </si>
  <si>
    <t>TIJOLO CERAMICO MACICO *5 X 10 X 20* CM</t>
  </si>
  <si>
    <t>CAIXA D'AGUA EM POLIETILENO 1000 LITROS, COM TAMPA</t>
  </si>
  <si>
    <t>SDC01089</t>
  </si>
  <si>
    <t>DIVISORIA EM GRANITO BRANCO ITAUNAS, ESP = 2CM, ASSENTADO COM ARGAMASSA TRACO 1:4, ARREMATE EM CIMENTO BRANCO, EXCLUSIVE FERRAGENS</t>
  </si>
  <si>
    <t>SINAPI 79267</t>
  </si>
  <si>
    <t>MARMORISTA/GRANITEIRO COM ENCARGOS COMPLEMENTARES</t>
  </si>
  <si>
    <t>ARGAMASSA TRAÇO 1:4 (CIMENTO E AREIA MÉDIA), PREPARO MANUAL. AF_08/2014</t>
  </si>
  <si>
    <t>CIMENTO BRANCO</t>
  </si>
  <si>
    <t>DIVISORIA EM GRANITO BRANCO ITAUNAS</t>
  </si>
  <si>
    <t>FABIANE</t>
  </si>
  <si>
    <t>3025-3116</t>
  </si>
  <si>
    <t>VILLA REAL MARMORES E GRANITO</t>
  </si>
  <si>
    <t>17.134.646/0001-64</t>
  </si>
  <si>
    <t>3317-3300</t>
  </si>
  <si>
    <t>JBA DISTRIB. DE MARMORES E GRANITO LTDA.</t>
  </si>
  <si>
    <t>05.739.751/0001-48</t>
  </si>
  <si>
    <t>3359-3519</t>
  </si>
  <si>
    <t>REVESTIR ARTE EM PEDRAS</t>
  </si>
  <si>
    <t>05.943.596/0001-87</t>
  </si>
  <si>
    <t>SDC01090</t>
  </si>
  <si>
    <t>POLIMENTO DE PISOS DE CONCRETO</t>
  </si>
  <si>
    <t>36.6</t>
  </si>
  <si>
    <t>LASTRO DE CONCRETO - VIGAS BALDRAMES (ÁREA DE APILOAMENTO * 5cm) - m2</t>
  </si>
  <si>
    <t>VIGIA DIURNO</t>
  </si>
  <si>
    <t>ALIMENTACAO - HORISTA (ENCARGOS COMPLEMENTARES) (COLETADO CAIXA)</t>
  </si>
  <si>
    <t>TRANSPORTE - HORISTA (ENCARGOS COMPLEMENTARES) (COLETADO CAIXA)</t>
  </si>
  <si>
    <t>SEGURO - HORISTA (ENCARGOS COMPLEMENTARES) (COLETADO CAIXA)</t>
  </si>
  <si>
    <t>SINAPI 88326</t>
  </si>
  <si>
    <t>VIGIA DIURNO COM ENCARGOS COMPLEMENTARES</t>
  </si>
  <si>
    <t>PERFIL DE ALUMINIO ANODIZADO</t>
  </si>
  <si>
    <t>VIDRO COMUM LAMINADO LISO INCOLOR DUPLO, ESPESSURA TOTAL 8 MM (CADA CAMADA DE 4 MM) - COLOCADO</t>
  </si>
  <si>
    <t>SINAPI 85010 / SEDOP 91518</t>
  </si>
  <si>
    <t>AÇO CA50 - 12.5mm</t>
  </si>
  <si>
    <t>LAJE TRELIÇADA h=12cm PARA COBERTURA</t>
  </si>
  <si>
    <t>19.16</t>
  </si>
  <si>
    <t>LASTRO DE CONCRETO - SAPATAS (ÁREA DE APILOAMENTO * 5cm) - m3</t>
  </si>
  <si>
    <t>TELA - Q92 - m2 - consid. 20% perda trespasse</t>
  </si>
  <si>
    <t xml:space="preserve">ESPALHAMENTO DO MATERIAL (ÁREA DA QUADRA)  - VER SE HÁ NECESSIDADE DE SER CONTADO DUAS VEZES, POIS É NECESSÁRIO FAZER O ESPALHAMENTO EM DUAS CAMADAS DE 0,20m </t>
  </si>
  <si>
    <t xml:space="preserve">ESCAVAÇÃO  DAS VIGAS BALDRAMES (CONSIDERADO VOLUME DE CONCRETO DAS BALDRAMES, DIVIDIDO PELA LARGURA DAS VIGAS (14cm) E MULTIPLICADO PELA LARGURA DA VALA (54cm) - 20cm PARA CADA LADO </t>
  </si>
  <si>
    <t xml:space="preserve">REATERRO DAS SAPATAS (ESCAVAÇÃO DAS SAPATAS - VOLUME DE CONCRETO DOS SAPATAS E DOS TOCOS DE PILARES) </t>
  </si>
  <si>
    <t>LASTRO DE CONCRETO DE 5cm - SAPATAS</t>
  </si>
  <si>
    <t>LASTRO DE CONCRETO DE 5cm - VIGAS BALDRAMES</t>
  </si>
  <si>
    <t>LASTRO COM PREPARO DE FUNDO COM CAMADA DE BRITA PARA IMPERMEABILIZAÇÃO DO CONTRAPISO ARMADO e=5CM</t>
  </si>
  <si>
    <t>LONA PLASTICA PRETA PARA IMPERMEABILIZAÇÃO DE PISO</t>
  </si>
  <si>
    <t>AÇO CA60 - 6,3mm</t>
  </si>
  <si>
    <t>TOCO DE PILAR (ENTRE A SAPATA E A BALDRAME)</t>
  </si>
  <si>
    <t>AÇO CA50 - 5mm</t>
  </si>
  <si>
    <t>LAJE</t>
  </si>
  <si>
    <t>LAJE TRELIÇADA H=12cm (SOBRECARGA PERM + ACID. DE ATÉ 200,KG/M2)</t>
  </si>
  <si>
    <t>LEVANTAMENTO QUANTITATIVOS QUADRA EE MARIO DE CASTRO_R03</t>
  </si>
  <si>
    <t>COMPACTAÇÃO DE ATERRO</t>
  </si>
  <si>
    <t>TELA - Q92 - CONSIDERADO 1,48kg/m2 (kg) - Perda e traspasse de 20%</t>
  </si>
  <si>
    <t>OU</t>
  </si>
  <si>
    <t>LAJE TRELIÇADA H=12 (SOBRECARGA ACID + PERM DE ATÉ 200KG/M²)</t>
  </si>
  <si>
    <t>LASTRO DE CONCRETO - BLOCOS (ÁREA DE APILOAMENTO * 5cm) - m2</t>
  </si>
  <si>
    <t xml:space="preserve">INSTALAÇÕES DE SEGURANÇA E PREVENÇÃO A COMBATE A INCÊNDIO E PÂNICO </t>
  </si>
  <si>
    <t>EXTINTOR DE INCÊNDIO</t>
  </si>
  <si>
    <t>EXTINTOR INCENDIO TP PO QUIMICO 6KG - FORNECIMENTO E INSTALACAO</t>
  </si>
  <si>
    <t>SINALIZAÇÃO - SAÍDA DE EMERGÊNCIA</t>
  </si>
  <si>
    <t>SISTEMA DE ALARME DE EMERGÊNCIA</t>
  </si>
  <si>
    <t>CABO DE COBRE FLEXÍVEL ISOLADO, 2,5 MM², ANTI-CHAMA 0,6/1,0 KV, PARA CIRCUITOS TERMINAIS - FORNECIMENTO E INSTALAÇÃO. AF_12/2015</t>
  </si>
  <si>
    <t>CAIXA DE PASSAGEM EM CHAPA DE AÇO COM TAMPA PARAFUSADA, DIMENSÕES 15X15X10CM</t>
  </si>
  <si>
    <t>SISTEMA E ACIONAMENTO DO HIDRANTE</t>
  </si>
  <si>
    <t>SDC03062</t>
  </si>
  <si>
    <t>CAIXA DE PROTECAO PARA MEDIDOR TRIFASICO, FORNECIMENTO E INSTALACAO</t>
  </si>
  <si>
    <t>LUMINÁRIA DE EMERGÊNCIA</t>
  </si>
  <si>
    <t>LUMINARIA DE EMERGENCIA 960 LUMENS DE 24 LEDS, POTENCIA 4 W, BATERIA DE LITIO, AUTONOMIA DE 3 HRS</t>
  </si>
  <si>
    <t>RICARDO</t>
  </si>
  <si>
    <t>PETEL</t>
  </si>
  <si>
    <t>FERNANDO</t>
  </si>
  <si>
    <t>MOURA HIDRAULICA E ELÉTRICA</t>
  </si>
  <si>
    <t>ORSE 10909</t>
  </si>
  <si>
    <t>DUTO CORRUGADO FLEXÍVEL EM PEAD Ø = 1.1/2', TIPO KANALEX OU SIMILAR, LANÇADO DIRETAMENTE NO SOLO, EXCLUSIVE ESCAVAÇÃO E REATERRO</t>
  </si>
  <si>
    <t>CABO DE COBRE ISOLADO EM EPR FLEXÍVEL 10MM² - 0,6KV/1KV/90°</t>
  </si>
  <si>
    <t>ORSE 9205</t>
  </si>
  <si>
    <t>EDER</t>
  </si>
  <si>
    <t>PRHIMEL ELÉTRICA E HIDRAULICA</t>
  </si>
  <si>
    <t>DUTO CORRUGADO FLEXÍVEL EM PEAD Ø = 1', TIPO KANALEX OU SIMILAR, LANÇADO DIRETAMENTE NO SOLO, EXCLUSIVE ESCAVAÇÃO E REATERRO</t>
  </si>
  <si>
    <t>69.2</t>
  </si>
  <si>
    <t>CORTE E DOBRA DE AÇO CA-50, DIÂMETRO DE 10.0 MM, UTILIZADO EM ESTRUTURAS DIVERSAS, EXCETO LAJES. AF_12/2015</t>
  </si>
  <si>
    <t>ELETRODUTO FLEXÍVEL CORRUGADO, PVC, DN 32 MM (1"), PARA CIRCUITOS TERMINAIS, INSTALADO EM PAREDE - FORNECIMENTO E INSTALAÇÃO. AF_12/2015</t>
  </si>
  <si>
    <t>TAMPAO COM CORRENTE, EM LATAO, ENGATE RAPIDO 2 1/2", PARA INSTALACAO PREDIAL DE COMBATE A INCENDIO</t>
  </si>
  <si>
    <t>SDC07037</t>
  </si>
  <si>
    <t>Abrigo de Gás</t>
  </si>
  <si>
    <t>1.2</t>
  </si>
  <si>
    <t>Escavação Manual de Valas</t>
  </si>
  <si>
    <t>1.3</t>
  </si>
  <si>
    <t>1.4</t>
  </si>
  <si>
    <t>Pintura Esmalte Fosco</t>
  </si>
  <si>
    <t>1.5</t>
  </si>
  <si>
    <t>1.6</t>
  </si>
  <si>
    <t>1.7</t>
  </si>
  <si>
    <t>1.8</t>
  </si>
  <si>
    <t>1.9</t>
  </si>
  <si>
    <t>1.10</t>
  </si>
  <si>
    <t>1.11</t>
  </si>
  <si>
    <t>OBSERVAÇÕES</t>
  </si>
  <si>
    <t>SPDA</t>
  </si>
  <si>
    <t>SDC03046</t>
  </si>
  <si>
    <t>FORNECIMENTO E INSTALAÇÃO DE BARRA CHATA DE ALUMÍNIO 1/4" X 3/4", BARRA DE 6M</t>
  </si>
  <si>
    <t>Espalhadas pela cobertura da quadra formando áreas quadradas de 50m² à 100m² (7x7 à 10x10).</t>
  </si>
  <si>
    <t>Qd=599,5</t>
  </si>
  <si>
    <t>SDC03058</t>
  </si>
  <si>
    <t>FORNECIMENTO E INSTALAÇÃO DE BARRA CHATA DE ALUMÍNIO 1/4" X 3/4", COM CURVA DE 300MM</t>
  </si>
  <si>
    <t>Cantos.</t>
  </si>
  <si>
    <t>1 Conjunto de conexão à cada metro.</t>
  </si>
  <si>
    <t>Espaçadas sobre as barras chatas com espaçamento entre 3,5m e 4,5m.</t>
  </si>
  <si>
    <t>escola=237 ; ref=47 ; QD=125 ; tot=409 pç</t>
  </si>
  <si>
    <t>SDC03056</t>
  </si>
  <si>
    <t>Qd=17 ; Ref=11 ; Esc=29 ; Tot=57</t>
  </si>
  <si>
    <t xml:space="preserve"> HASTE DE ATERRAMENTO EM AÇO COM 3,00 M DE COMPRIMENTO E DN = 5/8" REVESTIDA COM BAIXA CAMADA DE COBRE, SEM CONECTOR</t>
  </si>
  <si>
    <t>FORNECIMENTO E INSTALAÇÃO DE CARTUCHO PARA SOLDA 115MM</t>
  </si>
  <si>
    <t>MASTRO SIMPLES DE FERRO GALVANIZADO P/ PARA-RAIOS H=3,00M INCLUINDO BASE - FORNECIMENTO E INSTALACAO</t>
  </si>
  <si>
    <t>PARA-RAIOS TIPO FRANKLIN - CABO E SUPORTE ISOLADOR</t>
  </si>
  <si>
    <t>SDC03055</t>
  </si>
  <si>
    <t>SDC03057</t>
  </si>
  <si>
    <t xml:space="preserve"> DISJUNTOR MONOPOLAR TIPO DIN, CORRENTE NOMINAL DE 10A - FORNECIMENTO E INSTALAÇÃO. AF_04/2016</t>
  </si>
  <si>
    <t>ELETRODUTO RÍGIDO ROSCÁVEL, PVC, DN 25 MM (3/4"), PARA CIRCUITOS TERMINAIS, INSTALADO EM PAREDE - FORNECIMENTO E INSTALAÇÃO. AF_12/2015</t>
  </si>
  <si>
    <t xml:space="preserve"> LUVA PARA ELETRODUTO, PVC, ROSCÁVEL, DN 25 MM (3/4"), PARA CIRCUITOS TERMINAIS, INSTALADA EM PAREDE - FORNECIMENTO E INSTALAÇÃO. AF_12/2015</t>
  </si>
  <si>
    <t>CONDULETE DE ALUMÍNIO, TIPO E, PARA ELETRODUTO DE FERRO GALVANIZADO DN 20 MM (3/4''), APARENTE - FORNECIMENTO E INSTALAÇÃO. AF_11/2016_P</t>
  </si>
  <si>
    <t>CURVA 90 GRAUS PARA ELETRODUTO, PVC, ROSCÁVEL, DN 25 MM (3/4"), PARA CIRCUITOS TERMINAIS, INSTALADA EM PAREDE - FORNECIMENTO E INSTALAÇÃO. AF_12/2015</t>
  </si>
  <si>
    <t>BARRA CHATA DE ALUMÍNIO 1/4" X 3/4" - BARRA 6M</t>
  </si>
  <si>
    <t>EDUARDO</t>
  </si>
  <si>
    <t>15 30315565</t>
  </si>
  <si>
    <t>A CENTRAL COMERCIAL ELÉTRICA LTDA</t>
  </si>
  <si>
    <t>13.314.982/0001-38</t>
  </si>
  <si>
    <t>AÇOFER INDÚSTRIA E COMERCIO LTDA</t>
  </si>
  <si>
    <t>03.989.217/0002-45</t>
  </si>
  <si>
    <t>PÁRA-RAIO TIPO FRANKLIN 350MM, LATÃO CROMADO, PARA DESCIDA 1 CABO, C/SUPORTE E CONECTORES P/CABO TERRA E BASE</t>
  </si>
  <si>
    <t>ORSE 824</t>
  </si>
  <si>
    <t>PARA-RAIOS TIPO FRANKLIN 350 MM, EM LATAO CROMADO, DUAS DESCIDAS, PARA PROTECAO DE EDIFICACOES CONTRA DESCARGAS ATMOSFERICAS</t>
  </si>
  <si>
    <t>BUCHA DE NYLON, DIAMETRO DO FURO 8 MM, COMPRIMENTO 40 MM, COM PARAFUSO DE ROSCA SOBERBA, CABECA CHATA, FENDA SIMPLES, 4,8 X 50 MM</t>
  </si>
  <si>
    <t>CONECTOR METALICO TIPO PARAFUSO FENDIDO (SPLIT BOLT), PARA CABOS ATE 35 MM2</t>
  </si>
  <si>
    <t>TUBO ACO GALVANIZADO COM COSTURA, CLASSE MEDIA, DN 2", E = *3,65* MM, PESO *5,10* KG/M (NBR 5580)</t>
  </si>
  <si>
    <t>SINALIZADOR NOTURNO C/ 1 LÂMPADA PL 15W, INCLUSIVE LAMPADA E RELÉ FOTOELETRICO INDIVIDUAL</t>
  </si>
  <si>
    <t>ORSE 3477</t>
  </si>
  <si>
    <t>SINALIZADOR NOTURNO SIMPLES PARA PARA-RAIOS, SEM RELE FOTOELETRICO</t>
  </si>
  <si>
    <t>LAMPADA FLUORESCENTE COMPACTA 2U BRANCA 15 W, BASE E27 (127/220 V)</t>
  </si>
  <si>
    <t>INSTAÇAÕES ELÉTRICAS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</si>
  <si>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</si>
  <si>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</si>
  <si>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</si>
  <si>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Cabo isolado em epr seção 16,00 mm² - 0,6/1 KV - 90°C - flexível</t>
  </si>
  <si>
    <t>Cabo isolado em epr seção 25,00 mm² - 0,6/1 KV - 90°C - flexível</t>
  </si>
  <si>
    <t>Cabo isolado em epr seção 35,00 mm² - 0,6/1 KV - 90°C - flexível</t>
  </si>
  <si>
    <t>Cabo isolado em epr seção 70,00 mm² - 0,6/1 KV - 90°C - flexível</t>
  </si>
  <si>
    <t>Cabo isolado em epr seção 120,00 mm² - 0,6/1 KV - 90°C - flexível</t>
  </si>
  <si>
    <t>SDC03020</t>
  </si>
  <si>
    <t xml:space="preserve">Fornecimento e instalação de luminária tipo calha para 2 (duas) lâmpadas tubulares led com fluxo luminoso mínimo de 4400 lúmens.  </t>
  </si>
  <si>
    <t>11.11</t>
  </si>
  <si>
    <t>Lâmpada led 10 w bivolt branca, formato tradicional (base e27) - fornecimento e instalação</t>
  </si>
  <si>
    <t>11.12</t>
  </si>
  <si>
    <t>Fornecimento e instalação de ventilador de teto 110v, 3 pás madeira, 3 velocidades, sem luminária</t>
  </si>
  <si>
    <t>11.13</t>
  </si>
  <si>
    <t>Caixa retangular 4" x 2" baixa (0,30 m do piso), metálica, instalada em parede - fornecimento e instalação. Af_12/2015</t>
  </si>
  <si>
    <t>11.14</t>
  </si>
  <si>
    <t>Condulete 1" em liga de alumínio fundido tipo "t" - fornecimento e instalação</t>
  </si>
  <si>
    <t>11.15</t>
  </si>
  <si>
    <t>Condulete 1" em liga de alumínio fundido tipo "c" - fornecimento e instalação</t>
  </si>
  <si>
    <t>11.16</t>
  </si>
  <si>
    <t>Condulete 1" em liga de alumínio fundido tipo "e" - fornecimento e instalação</t>
  </si>
  <si>
    <t>11.17</t>
  </si>
  <si>
    <t>Condulete 1" em liga de alumínio fundido tipo "LL" - fornecimento e instalação</t>
  </si>
  <si>
    <t>11.18</t>
  </si>
  <si>
    <t>Condulete 1" em liga de alumínio fundido tipo "x" - fornecimento e instalação</t>
  </si>
  <si>
    <t>11.19</t>
  </si>
  <si>
    <t>CAIXA OCTOGONAL 3" X 3", PVC, INSTALADA EM LAJE - FORNECIMENTO E INSTALAÇÃO. AF_12/2015</t>
  </si>
  <si>
    <t>11.20</t>
  </si>
  <si>
    <t>Tomada baixa de embutir (1 módulo), 2p+t 20 a, incluindo suporte e placa - fornecimento e instalação. Af_12/2015</t>
  </si>
  <si>
    <t>11.21</t>
  </si>
  <si>
    <t>Tomada baixa de embutir (1 módulo), 2p+t 10 a, incluindo suporte e placa - fornecimento e instalação. Af_12/2015</t>
  </si>
  <si>
    <t>11.22</t>
  </si>
  <si>
    <t>Interruptor simples (1 módulo), 10a/250v, incluindo suporte e placa - fornecimento e instalação. Af_12/2015</t>
  </si>
  <si>
    <t>11.23</t>
  </si>
  <si>
    <t>Interruptor simples (2 módulos), 10a/250v, incluindo suporte e placa - fornecimento e instalação. Af_12/2015</t>
  </si>
  <si>
    <t>11.24</t>
  </si>
  <si>
    <t>Interruptor simples (3 módulos), 10a/250v, incluindo suporte e placa - fornecimento e instalação. Af_12/2015</t>
  </si>
  <si>
    <t>11.25</t>
  </si>
  <si>
    <t>Quadro de distribuicao de energia de embutir, em chapa metalica, para 18 disjuntores termomagneticos monopolares, com barramento trifasico e neutro, fornecimento e instalacao</t>
  </si>
  <si>
    <t>11.26</t>
  </si>
  <si>
    <t>Quadro de distribuicao de energia de embutir, em chapa metalica, para 24 disjuntores termomagneticos monopolares, com barramento trifasico e neutro, fornecimento e instalacao</t>
  </si>
  <si>
    <t>11.27</t>
  </si>
  <si>
    <t>Quadro de distribuicao de energia de embutir, em chapa metalica, para 32 disjuntores termomagneticos monopolares, com barramento trifasico e neutro, fornecimento e instalacao</t>
  </si>
  <si>
    <t>11.28</t>
  </si>
  <si>
    <t>Quadro de distribuicao de energia de embutir, em chapa metalica, para 50 disjuntores termomagneticos monopolares, com barramento trifasico e neutro, fornecimento e instalacao</t>
  </si>
  <si>
    <t>11.29</t>
  </si>
  <si>
    <t>SDC03054</t>
  </si>
  <si>
    <t>Quadro com barramento trifásico para disjuntor de entrada 400A, incluindo fixação, placa de acrílico sem barramentos secundários e disjuntor de entrada - fornecimento e instalação</t>
  </si>
  <si>
    <t>11.30</t>
  </si>
  <si>
    <t>Barramento secundário trifásico para disjuntor até 100A incluindo fixação - Fornecimento e instalação</t>
  </si>
  <si>
    <t>11.31</t>
  </si>
  <si>
    <t>Barramento secundário trifásico para disjuntor de 125A até 250A  incluindo fixação - Fornecimento e instalação</t>
  </si>
  <si>
    <t>11.32</t>
  </si>
  <si>
    <t>Disjuntor monopolar tipo din, corrente nominal de 10a - fornecimento e instalação. Af_04/2016</t>
  </si>
  <si>
    <t>11.33</t>
  </si>
  <si>
    <t>Disjuntor monopolar tipo din, corrente nominal de 16a - fornecimento e instalação. Af_04/2016</t>
  </si>
  <si>
    <t>11.34</t>
  </si>
  <si>
    <t>Disjuntor monopolar tipo din, corrente nominal de 20a - fornecimento e instalação. Af_04/2016</t>
  </si>
  <si>
    <t>11.35</t>
  </si>
  <si>
    <t>Disjuntor monopolar tipo din, corrente nominal de 25a - fornecimento e instalação. Af_04/2016</t>
  </si>
  <si>
    <t>11.36</t>
  </si>
  <si>
    <t>Disjuntor bipolar tipo din, corrente nominal de 10a - fornecimento e instalação. Af_04/2016</t>
  </si>
  <si>
    <t>11.37</t>
  </si>
  <si>
    <t>Disjuntor bipolar tipo din, corrente nominal de 16a - fornecimento e instalação. Af_04/2016</t>
  </si>
  <si>
    <t>11.38</t>
  </si>
  <si>
    <t>Disjuntor bipolar tipo din, corrente nominal de 20a - fornecimento e instalação. Af_04/2016</t>
  </si>
  <si>
    <t>11.39</t>
  </si>
  <si>
    <t>Disjuntor biipolar tipo din, corrente nominal de 25a - fornecimento e instalação. Af_04/2016</t>
  </si>
  <si>
    <t>XXXXXX</t>
  </si>
  <si>
    <t>Disjuntor biipolar tipo din, corrente nominal de 32a - fornecimento e instalação. Af_04/2016</t>
  </si>
  <si>
    <t>11.40</t>
  </si>
  <si>
    <t>Disjuntor tripolar tipo din, corrente nominal de 32a - fornecimento e instalação. Af_04/2016</t>
  </si>
  <si>
    <t>11.41</t>
  </si>
  <si>
    <t>SDEL0173/2014</t>
  </si>
  <si>
    <t>Fornecimento e instalação de Protetor de Surto (DPS) 275V - 45KA em quadro de distribuição.</t>
  </si>
  <si>
    <t>11.42</t>
  </si>
  <si>
    <t>Disjuntor termomagnetico tripolar padrao nema (americano) 60 a 100a 240v, fornecimento e instalacao</t>
  </si>
  <si>
    <t>11.43</t>
  </si>
  <si>
    <t>Disjuntor termomagnetico tripolar padrao nema (americano) 125 a 150A 240v, fornecimento e instalacao</t>
  </si>
  <si>
    <t>11.44</t>
  </si>
  <si>
    <t>11.45</t>
  </si>
  <si>
    <t>Disjuntor termomagnetico tripolar em caixa moldada 300 a 400A  600v, fornecimento e instalacao</t>
  </si>
  <si>
    <t>11.46</t>
  </si>
  <si>
    <t>Eletroduto flexível corrugado, pvc, dn 32 mm (1"), para circuitos terminais, instalado em forro - fornecimento e instalação. Af_12/2015</t>
  </si>
  <si>
    <t>11.47</t>
  </si>
  <si>
    <t>Duto espiral flexivel singelo pead d=75mm(3") revestido com pvc com fio guia de aco galvanizado, lancado direto no solo, incl conexoes</t>
  </si>
  <si>
    <t>11.48</t>
  </si>
  <si>
    <t>11.49</t>
  </si>
  <si>
    <t>Caixa de passagem 80x80x62 fundo brita com tampa</t>
  </si>
  <si>
    <t>11.50</t>
  </si>
  <si>
    <t>Caixa de passagem 60x60x70 fundo brita com tampa</t>
  </si>
  <si>
    <t>11.51</t>
  </si>
  <si>
    <t>Caixa de passagem 40x40x50 fundo brita com tampa</t>
  </si>
  <si>
    <t>11.52</t>
  </si>
  <si>
    <t>11.53</t>
  </si>
  <si>
    <t xml:space="preserve">Projetor Industrial LED 150W, fluxo luminoso mínimo 15900 lúmens, vida útil mínima de 50.000 horas, LM80- Fornecimento e Instalação. </t>
  </si>
  <si>
    <t>11.54</t>
  </si>
  <si>
    <t>11.55</t>
  </si>
  <si>
    <t>11.56</t>
  </si>
  <si>
    <t>11.57</t>
  </si>
  <si>
    <t>QUANTITATIVO</t>
  </si>
  <si>
    <t>DISJUNTOR BIPOLAR TIPO DIN, CORRENTE NOMINAL DE 25A - FORNECIMENTO E INSTALAÇÃO. AF_04/2016</t>
  </si>
  <si>
    <t>DISJUNTOR BIPOLAR TIPO DIN, CORRENTE NOMINAL DE 32A - FORNECIMENTO E INSTALAÇÃO. AF_04/2016</t>
  </si>
  <si>
    <t>Duto espiral flexivel singelo pead d=50mm(2") revestido com pvc com fio guia de aco galvanizado, lancado direto no solo, incl conexoes</t>
  </si>
  <si>
    <t>CAIXA DE PASSAGEM 80X80X62 FUNDO BRITA COM TAMPA</t>
  </si>
  <si>
    <t>BARRAMENTO SECUNDÁRIO TRIFÁSICO PARA DISJUNTOR ATÉ 100A INCLUINDO FIXAÇÃO - FORNECIMENTO E INSTALAÇÃO</t>
  </si>
  <si>
    <t>BARRAMENTO SECUNDÁRIO TRIFÁSICO PARA DISJUNTOR DE 125A ATÉ 250A  INCLUINDO FIXAÇÃO - FORNECIMENTO E INSTALAÇÃO</t>
  </si>
  <si>
    <t>Locação</t>
  </si>
  <si>
    <t>Área dos Vestiários + Quadra</t>
  </si>
  <si>
    <t>IMPERMEABILIZAÇÃO</t>
  </si>
  <si>
    <r>
      <t>Alvenaria 1/2vez
&gt; ou =</t>
    </r>
    <r>
      <rPr>
        <b/>
        <sz val="11"/>
        <rFont val="Calibri Light"/>
        <family val="2"/>
      </rPr>
      <t xml:space="preserve"> 6m² sem vão</t>
    </r>
  </si>
  <si>
    <t>Cobogó</t>
  </si>
  <si>
    <t>3.3</t>
  </si>
  <si>
    <r>
      <t xml:space="preserve">Verga vão até 1,50m </t>
    </r>
    <r>
      <rPr>
        <b/>
        <sz val="11"/>
        <rFont val="Calibri Light"/>
        <family val="2"/>
      </rPr>
      <t>Portas</t>
    </r>
  </si>
  <si>
    <r>
      <t xml:space="preserve">Portas Novas: 
</t>
    </r>
    <r>
      <rPr>
        <sz val="11"/>
        <rFont val="Calibri Light"/>
        <family val="2"/>
      </rPr>
      <t>P2 - Vestiário F/M (0,90) 02un
P4 - Vestiário PCD F/M (0,90) 02un</t>
    </r>
  </si>
  <si>
    <t>3.4</t>
  </si>
  <si>
    <r>
      <t xml:space="preserve">Verga vão até 1,50m </t>
    </r>
    <r>
      <rPr>
        <b/>
        <sz val="11"/>
        <rFont val="Calibri Light"/>
        <family val="2"/>
      </rPr>
      <t>Janelas</t>
    </r>
  </si>
  <si>
    <r>
      <rPr>
        <b/>
        <sz val="11"/>
        <rFont val="Calibri Light"/>
        <family val="2"/>
      </rPr>
      <t>Acima das Janelas</t>
    </r>
    <r>
      <rPr>
        <sz val="11"/>
        <rFont val="Calibri Light"/>
        <family val="2"/>
      </rPr>
      <t xml:space="preserve">
J9 - Vestiário PCD F/M (0,80)   02un              </t>
    </r>
    <r>
      <rPr>
        <sz val="10"/>
        <rFont val="Arial"/>
        <family val="2"/>
      </rPr>
      <t/>
    </r>
  </si>
  <si>
    <t>3.5</t>
  </si>
  <si>
    <r>
      <t xml:space="preserve">Verga vão acima de 1,50m </t>
    </r>
    <r>
      <rPr>
        <b/>
        <sz val="11"/>
        <rFont val="Calibri Light"/>
        <family val="2"/>
      </rPr>
      <t>Janelas</t>
    </r>
  </si>
  <si>
    <r>
      <rPr>
        <b/>
        <sz val="11"/>
        <rFont val="Calibri Light"/>
        <family val="2"/>
      </rPr>
      <t>Acima das Janelas</t>
    </r>
    <r>
      <rPr>
        <sz val="11"/>
        <rFont val="Calibri Light"/>
        <family val="2"/>
      </rPr>
      <t xml:space="preserve">
J2 - Vestiário F/M (3,00)   02un              </t>
    </r>
    <r>
      <rPr>
        <sz val="10"/>
        <rFont val="Arial"/>
        <family val="2"/>
      </rPr>
      <t/>
    </r>
  </si>
  <si>
    <t>3.6</t>
  </si>
  <si>
    <t>Contra Verga vão até de 1,50m</t>
  </si>
  <si>
    <r>
      <t xml:space="preserve">Abaixo das Janelas
</t>
    </r>
    <r>
      <rPr>
        <sz val="11"/>
        <rFont val="Calibri Light"/>
        <family val="2"/>
      </rPr>
      <t xml:space="preserve">J9 - Vestiário PCD F/M (0,80)   02un              </t>
    </r>
  </si>
  <si>
    <t>3.7</t>
  </si>
  <si>
    <t>Contra Verga acima de 1,50m</t>
  </si>
  <si>
    <r>
      <t xml:space="preserve">Abaixo das Janelas
</t>
    </r>
    <r>
      <rPr>
        <sz val="11"/>
        <rFont val="Calibri Light"/>
        <family val="2"/>
      </rPr>
      <t xml:space="preserve">J2 - Vestiário F/M (3,00)   02un    </t>
    </r>
  </si>
  <si>
    <t>Telha Isotermica</t>
  </si>
  <si>
    <t>Área de Cobertura do Vestiário: 73,93m² 
Área de Cobertura da Quadra: 1.461,18m²</t>
  </si>
  <si>
    <t>Rufo Metálico</t>
  </si>
  <si>
    <t>Cobertura da Quadra: 49,70ml x 2 lados
Cobertura do Vestiário: 16,25ml</t>
  </si>
  <si>
    <t>ContraRufo Metálico</t>
  </si>
  <si>
    <t>Calha Metálica</t>
  </si>
  <si>
    <t>Cobertura da Quadra: 49,70ml x 2 lados</t>
  </si>
  <si>
    <t>Porta 0,90 sem visor (P2) (P4)</t>
  </si>
  <si>
    <t xml:space="preserve">Vestiário F/M - (P2) - 0,90cm 
Vestiário PCD F/M - (P4) - 0,90cm </t>
  </si>
  <si>
    <t>Porta Alumínio WC (P1)</t>
  </si>
  <si>
    <t>Vestiários F/M
TOTAL: 10 UNIDADES = 0,60x1,70= 1,02m² x 10 = 10,20m²</t>
  </si>
  <si>
    <t>Maxim-ar 3,00x0,80 (J2)</t>
  </si>
  <si>
    <t>Vestiário F/M - 02un
Vestiário PCD F/M  - 02un</t>
  </si>
  <si>
    <t>Maxim-ar 0,80x0,40 (J9)</t>
  </si>
  <si>
    <t>Reboco</t>
  </si>
  <si>
    <t>Emboço</t>
  </si>
  <si>
    <t>Azulejo  20x20cm</t>
  </si>
  <si>
    <t>Revestimento cerâmico 5x5 H= 1,10ml</t>
  </si>
  <si>
    <t xml:space="preserve"> </t>
  </si>
  <si>
    <t>Lastro de Concreto</t>
  </si>
  <si>
    <t>Vestiarios F/M: 147,86m² x 2
Vestiarios M/F PCD: 5,49m² x 2
Circulação: 6,56m²
Quadra: 1.507,50m²</t>
  </si>
  <si>
    <t>Regularização Piso</t>
  </si>
  <si>
    <t>Piso Porcelanato</t>
  </si>
  <si>
    <t>Vestiarios F/M: 147,86m² x 2
Vestiarios M/F PCD: 5,49m² x 2
Circulação: 6,56m²</t>
  </si>
  <si>
    <t>DIVISÓRIAS</t>
  </si>
  <si>
    <t>Forro de PVC</t>
  </si>
  <si>
    <t>Divisória Granito</t>
  </si>
  <si>
    <t>Banheiro Feminino + Masculino 
Div. Frente sanitários:
0,69ml  x1,80altura 
Div. Lateral
(1,57 x 2) +( 1,97x3) x 1,80altura</t>
  </si>
  <si>
    <t>Emassamento Interno</t>
  </si>
  <si>
    <t>Emassamento Externo</t>
  </si>
  <si>
    <t xml:space="preserve">Pintura Latéx Acrílica Branco Gelo </t>
  </si>
  <si>
    <t>Pintura para de Teto (Laje)
Cor: Branco Gelo</t>
  </si>
  <si>
    <t xml:space="preserve"> Pintura com tinta Óleo COR PANTONE 308U</t>
  </si>
  <si>
    <t xml:space="preserve"> Pintura com tinta Óleo   PANTONE 3125U</t>
  </si>
  <si>
    <t>9.8</t>
  </si>
  <si>
    <t>9.9</t>
  </si>
  <si>
    <t>Esmalte Sint. Metálica (Branco Gelo)
Pintura de Esquadrias</t>
  </si>
  <si>
    <t>Tampo de granito para lavatorio</t>
  </si>
  <si>
    <t>Vestiário Fem.= 1,94ml
Vestiário Masc.= 1,94ml</t>
  </si>
  <si>
    <t>Espelho cristal</t>
  </si>
  <si>
    <t>Barra de apoio banheiros PCD 0,80cm</t>
  </si>
  <si>
    <t>Barras de  80cm para chuveiros e vasos sanitarios de banheiros PCD - 09un em cada banheiro</t>
  </si>
  <si>
    <t>Barra de apoio banheiros PCD 0,40cm</t>
  </si>
  <si>
    <t>Barras de 40cm para pias Banheiros PCD e para as Portas PCD - Uma em cada lado da pia</t>
  </si>
  <si>
    <t>02 Fachadas</t>
  </si>
  <si>
    <t>10.7</t>
  </si>
  <si>
    <t>Letra Caixa</t>
  </si>
  <si>
    <t>10.8</t>
  </si>
  <si>
    <r>
      <t xml:space="preserve">Pintura  </t>
    </r>
    <r>
      <rPr>
        <b/>
        <sz val="11"/>
        <rFont val="Calibri Light"/>
        <family val="2"/>
      </rPr>
      <t>acrilica</t>
    </r>
    <r>
      <rPr>
        <sz val="11"/>
        <rFont val="Calibri Light"/>
        <family val="2"/>
      </rPr>
      <t xml:space="preserve"> em piso de concreto</t>
    </r>
  </si>
  <si>
    <t>10.9</t>
  </si>
  <si>
    <t>Pintura acrilica para faixas de Demarcação</t>
  </si>
  <si>
    <t>Faixas de demarcação</t>
  </si>
  <si>
    <t>10.10</t>
  </si>
  <si>
    <t>Basquete</t>
  </si>
  <si>
    <t>01 conjunto para quadra</t>
  </si>
  <si>
    <t>10.11</t>
  </si>
  <si>
    <t>Trave Futebol</t>
  </si>
  <si>
    <t>10.12</t>
  </si>
  <si>
    <t>Calçada (Passeio)</t>
  </si>
  <si>
    <t>*Calçada em volta de toda quadra m²</t>
  </si>
  <si>
    <t>Limpeza Final da Obra</t>
  </si>
  <si>
    <t>APLICAÇÃO MANUAL DE PINTURA COM TINTA LÁTEX ACRÍLICA EM TETO, DUAS DEMÃOS. AF_06/2014</t>
  </si>
  <si>
    <t>CALHA EM CHAPA DE AÇO GALVANIZADO NÚMERO 24, DESENVOLVIMENTO DE 50 CM, INCLUSO TRANSPORTE VERTICAL. AF_06/2016</t>
  </si>
  <si>
    <t>RUFO EM CHAPA DE AÇO GALVANIZADO NÚMERO 24, CORTE DE 25 CM, INCLUSO TRANSPORTE VERTICAL. AF_06/2016</t>
  </si>
  <si>
    <t>COBOGO DE CONCRETO (ELEMENTO VAZADO), 7X50X50CM, ASSENTADO COM ARGAMASSA TRACO 1:3 (CIMENTO E AREIA)</t>
  </si>
  <si>
    <t>73937/003</t>
  </si>
  <si>
    <t>39.5</t>
  </si>
  <si>
    <t>JÁ CONSIDERADONO CONTRAPISO ARMADO</t>
  </si>
  <si>
    <t>QUADRA E VESTIÁRIOS</t>
  </si>
  <si>
    <t>SDC04031</t>
  </si>
  <si>
    <t>FORNECIMENTO E INSTALAÇÃO DE BARRA DE APOIO PARA PCD, EM AÇO INOX, 40CM</t>
  </si>
  <si>
    <t>BARRA DE APOIO INOX 40CM</t>
  </si>
  <si>
    <t>Caroline</t>
  </si>
  <si>
    <t>3618-1550</t>
  </si>
  <si>
    <t>Multicasa</t>
  </si>
  <si>
    <t>15.036.858/0001-83</t>
  </si>
  <si>
    <t>Wagner</t>
  </si>
  <si>
    <t>Bigolin</t>
  </si>
  <si>
    <t>Erika</t>
  </si>
  <si>
    <t>PLACA EM ACM, PARA LOGO DO GOVERNO, DIM. 2,50X2,50M COM BRASÃO DO ESTADO ADESIVADA</t>
  </si>
  <si>
    <t>ELIZANGELA</t>
  </si>
  <si>
    <t>3051-0600</t>
  </si>
  <si>
    <t>PENALUX</t>
  </si>
  <si>
    <t>44.441.806/0001-90</t>
  </si>
  <si>
    <t>CAROLINA</t>
  </si>
  <si>
    <t>3056-3030</t>
  </si>
  <si>
    <t>VELOZ IMPRESS</t>
  </si>
  <si>
    <t>09.087.635/0001-42</t>
  </si>
  <si>
    <t>CARLOS</t>
  </si>
  <si>
    <t>3026-2854</t>
  </si>
  <si>
    <t>M3 SINALIZAÇÃO</t>
  </si>
  <si>
    <t>03.859.651/0001-20</t>
  </si>
  <si>
    <t>SDC04034</t>
  </si>
  <si>
    <t>PLACA EM ACM, PARA LOGO DO GOVERNO, DIM. 2,50X2,50M COM CHAPA GALVANIZADA COM BRASÃO DO ESTADO ADESIVADA</t>
  </si>
  <si>
    <t>SERVIÇOS TÉCNICOS - PROJETOS - CONSTRUÇÃO DE REFEITORIO</t>
  </si>
  <si>
    <t>Locação de Obra</t>
  </si>
  <si>
    <t>Área Do Refeitório</t>
  </si>
  <si>
    <t>IMPERMEABILIZAÇÕES</t>
  </si>
  <si>
    <t>Alvenaria 1/2vez vão &gt;6m²</t>
  </si>
  <si>
    <r>
      <t xml:space="preserve">Portas Novas: 
</t>
    </r>
    <r>
      <rPr>
        <sz val="11"/>
        <rFont val="Calibri Light"/>
        <family val="2"/>
      </rPr>
      <t>P2 08un (0,90cm)
P7 02un (0,80cm)</t>
    </r>
  </si>
  <si>
    <t>J6 05un (0,80cm)</t>
  </si>
  <si>
    <r>
      <t xml:space="preserve">J4 06un (2,00)
J7 02un (2,00)                              </t>
    </r>
    <r>
      <rPr>
        <sz val="10"/>
        <rFont val="Arial"/>
        <family val="2"/>
      </rPr>
      <t/>
    </r>
  </si>
  <si>
    <t>Contra Verga vão até  1,50m</t>
  </si>
  <si>
    <t>Contra Verga vão acima de 1,50m</t>
  </si>
  <si>
    <t>Telha Ondulada</t>
  </si>
  <si>
    <t>Área da Cobertura 
comprimento x arco = 28,10x17,60</t>
  </si>
  <si>
    <t>Portas 90 (P2)</t>
  </si>
  <si>
    <t>08 portas: (0,90*2,10)</t>
  </si>
  <si>
    <t>Porta 80 (P7)</t>
  </si>
  <si>
    <t>02 portas: (0,80*2,10)</t>
  </si>
  <si>
    <t>Janela Maxim-ar 
2,00 x 0,80 (J4)</t>
  </si>
  <si>
    <t>06 janelas : 2,00X0,80</t>
  </si>
  <si>
    <t>Janela Maxim-ar 
0,80 x 0,40 (J6)</t>
  </si>
  <si>
    <t>05 janelas : 0,80X0,40</t>
  </si>
  <si>
    <t>Guilhotina 
2,00 x 1,50 (J7)</t>
  </si>
  <si>
    <t>02 janelas : 2,00x1,50</t>
  </si>
  <si>
    <t>Chapisco de Paredes</t>
  </si>
  <si>
    <t>Chapisco de Teto (Laje)</t>
  </si>
  <si>
    <t>Triagem: 14,87m²  
WC funcionarios fem: 3,75m² 
WC funcionario masc: 3,75m² 
Cozinha: 48,90m² 
Circulação: 26,06m²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 Refeitório: 246,50m²</t>
  </si>
  <si>
    <t>Reboco de Parede</t>
  </si>
  <si>
    <t>Area de Chapisco (-) Área de Emboço</t>
  </si>
  <si>
    <t>Reboco de Teto (Laje)</t>
  </si>
  <si>
    <t>Emboço para revestimento Cerâmico</t>
  </si>
  <si>
    <t>Azulejo 20x20cm</t>
  </si>
  <si>
    <t>Revestimento cerâmico 5x5 H= 1,10ml
*COR PANTONE 308U
*COR PANTONE 2758C
*COR  PANTONE 3125U</t>
  </si>
  <si>
    <t>Revestimento 5x5cm h= 1,10cm (Parade frente ao Refeitório 14,50ml) + 11 Pilares de 15x30 x 1,50altura
*COR PANTONE 308U - 4,37m² + Pilares 14,85m²
*COR PANTONE 2758C - 4,51m²
*COR  PANTONE 3125U - 3,59m²</t>
  </si>
  <si>
    <t>Compactação</t>
  </si>
  <si>
    <t>Lastro</t>
  </si>
  <si>
    <t>Regularização Piso/ Contra piso</t>
  </si>
  <si>
    <t>Fundo selador em parede externa</t>
  </si>
  <si>
    <t>Liquibrilho H=1,20cm</t>
  </si>
  <si>
    <t>Liquibrilho para barrado externo H=1,20cm
*Laterais Cozinha: 9,10cm x 1,20ml
*Parede Fundo da Cozinha: 6,25cm x 1,20ml</t>
  </si>
  <si>
    <t>Esmalte Sint. Metálica (Branco Gelo)</t>
  </si>
  <si>
    <t>SERVIÇOS CONSTRUTIVOS COMPLEMENTARES</t>
  </si>
  <si>
    <t>Escovodromo</t>
  </si>
  <si>
    <t>1 unidade Localizado na Parede de Frente ao Refeitório</t>
  </si>
  <si>
    <t>Abrigo Resíduos Sólidos</t>
  </si>
  <si>
    <t>2 unidades localizados na cozinha</t>
  </si>
  <si>
    <t>1 unidade de espelho em cada banheiros de funcionários 45x55</t>
  </si>
  <si>
    <t>Cantoneira de Aluminio</t>
  </si>
  <si>
    <t>Cantoneira em alumio em pilares: 11 pilares x 4 cantos x 3,90ml de pé direito</t>
  </si>
  <si>
    <t>*Calçada em volta de todo Refeitório 85,20m²</t>
  </si>
  <si>
    <t>Àrea construída</t>
  </si>
  <si>
    <t>23.5</t>
  </si>
  <si>
    <t>25.6</t>
  </si>
  <si>
    <t>MASSA ÚNICA, PARA RECEBIMENTO DE PINTURA, EM ARGAMASSA TRAÇO 1:2:8, PREPARO MANUAL, APLICADA MANUALMENTE EM TETO, ESPESSURA DE 20MM, COM EXECUÇÃO DE TALISCAS. AF_03/2015</t>
  </si>
  <si>
    <t>MASSA ÚNICA, PARA RECEBIMENTO DE PINTURA, EM ARGAMASSA TRAÇO 1:2:8, PREPARO MANUAL, APLICADA MANUALMENTE EM FACES INTERNAS DE PAREDES, ESPESSURA DE 20MM, COM EXECUÇÃO DE TALISCAS. AF_06/2014</t>
  </si>
  <si>
    <t>26.3</t>
  </si>
  <si>
    <t>SDC01028</t>
  </si>
  <si>
    <t>PORTA DE AÇO CHAPA 18  0,80X2,10 SEM VISOR</t>
  </si>
  <si>
    <t>CANTONEIRA DE ALUMINIO 1"X1, PARA PROTECAO DE QUINA DE PAREDE</t>
  </si>
  <si>
    <t>73908/002</t>
  </si>
  <si>
    <t>INSTALAÇÕES HIDRÁULICAS - GERAL</t>
  </si>
  <si>
    <t xml:space="preserve">Registro de gaveta bruto, latão, roscável, 1, com acabamento e canopla cromados, fornecimento e instalação. </t>
  </si>
  <si>
    <t>adaptador soldavel.curto para registro 32mm - 1''</t>
  </si>
  <si>
    <t>un</t>
  </si>
  <si>
    <t>Joelho 90 graus, pvc, soldável, dn 25mm</t>
  </si>
  <si>
    <t>Joelho 90 graus, pvc, soldável, dn 32mm</t>
  </si>
  <si>
    <t>Tubo, pvc, soldável, dn 25mm</t>
  </si>
  <si>
    <t>Tubo, pvc, soldável, dn 32mm</t>
  </si>
  <si>
    <t>Adaptador curto com bolsa e rosca para registro, pvc, soldável, dn 20mm x 1/2</t>
  </si>
  <si>
    <t>Adaptador curto com bolsa e rosca para registro, pvc, soldável, dn 25mm x 3/4</t>
  </si>
  <si>
    <t>Adaptador curto com bolsa e rosca para registro, pvc, soldável, dn 60mm x 2</t>
  </si>
  <si>
    <t>cap soldavel 25mm</t>
  </si>
  <si>
    <t>Joelho 90 graus, pvc, soldável, dn 50mm</t>
  </si>
  <si>
    <t>Joelho 90 graus, pvc, soldável, dn 60mm</t>
  </si>
  <si>
    <t>Joelho 90 graus, pvc, soldável, dn 75mm</t>
  </si>
  <si>
    <t>Joelho 90 graus, pvc, soldável, dn 85mm</t>
  </si>
  <si>
    <t>Tubo, pvc, soldável, dn 50mm</t>
  </si>
  <si>
    <t>Tubo, pvc, soldável, dn 60mm</t>
  </si>
  <si>
    <t>Tubo, pvc, soldável, dn 75mm</t>
  </si>
  <si>
    <t>Tubo, pvc, soldável, dn 85mm</t>
  </si>
  <si>
    <t>Te, pvc, soldável, dn 25mm</t>
  </si>
  <si>
    <t>Te, pvc, soldável, dn 50mm</t>
  </si>
  <si>
    <t>Te, pvc, soldável, dn 60mm</t>
  </si>
  <si>
    <t>Te, pvc, soldável, dn 75mm</t>
  </si>
  <si>
    <t>Te, pvc, soldável, dn 85mm</t>
  </si>
  <si>
    <t>Tê de redução, pvc, soldável, dn 50mm x 25mm</t>
  </si>
  <si>
    <t>Te 90  redução soldavel curta 85 x 75mm</t>
  </si>
  <si>
    <t xml:space="preserve">Joelho 90 graus com bucha de latão, pvc, soldável, dn 25 mm, x 3/4 </t>
  </si>
  <si>
    <t xml:space="preserve">Joelho 90 graus com bucha de latão, pvc, soldável, dn 25 mm, x 1/2 </t>
  </si>
  <si>
    <t xml:space="preserve">Joelho 90 graus com bucha de latão, pvc, soldável, dn 20mm, x 1/2 </t>
  </si>
  <si>
    <t xml:space="preserve">Tê com bucha de latão na bolsa central, pvc, soldável, dn 25mm x 1/2 </t>
  </si>
  <si>
    <t>Tê com bucha de latão na bolsa central, pvc, soldável, dn 25mm x 3/4</t>
  </si>
  <si>
    <t>Cisterna de concreto Armado 24.500 lts, Dim. Compr.= 5.30 mts, Larg.= 3.80 mts, Prof.= 2.00 mts, Sendo Impermeabilizada Internamente Com Imperm. Cristaliz., Chapisc. Com Aditivo de Alto Desempenho, e Argamassa Com Impermeab. PADRÃO SEDUC</t>
  </si>
  <si>
    <t>Conjunto elevatório motor-bomba centrífuga de 1CV</t>
  </si>
  <si>
    <t>Vaso sanitario sifonado louça branca padrao popular, com conjunto parafixaçao para vaso sanitário com parafuso, arruela e bucha</t>
  </si>
  <si>
    <t>Valvula descarga 1.1/2" Com registro, acabamento em metal cromado</t>
  </si>
  <si>
    <t>Mictorio sifonado de louca branca com pertences, com registro de pressao 1/2" com canopla cromada acabamento simples e conjunto para fixacao</t>
  </si>
  <si>
    <t>Cuba de embutir oval em louça branca, 35 x 50cm ou equivalente</t>
  </si>
  <si>
    <t>Torneira cromada de mesa, 1/2" ou 3/4", para lavatório</t>
  </si>
  <si>
    <t>Porta-papel de louça branca ou em cores</t>
  </si>
  <si>
    <t xml:space="preserve"> porta papel toalha dobrado, branco, padrão normal</t>
  </si>
  <si>
    <t>dispenser para sabonete liquido em PVC, 800ml, branco, padrão normal</t>
  </si>
  <si>
    <t>Chuveiro eletrico comum corpo plastico tipo ducha</t>
  </si>
  <si>
    <t>Torneira cromada de mesa, 1/2" ou 3/4", para lavatório, padrão popular(para os lavatórios)</t>
  </si>
  <si>
    <t>porta papel toalha dobrado, branco, padrão normal</t>
  </si>
  <si>
    <t>Lavatório louça branca suspenso, 29,5 x 39cm ou equivalente, padrão popular, incluso sifão tipo garrafa em pvc, válvula e engate flexível 30cm em plástico e torneira cromada de mesa, padrão popular</t>
  </si>
  <si>
    <t xml:space="preserve">Vaso sanitário sifonado com caixa acoplada louça branca - padrão médio, incluso engate flexível em plástico branco, 1/2 x 40cm </t>
  </si>
  <si>
    <t>Cuba de embutir de aço inoxidável média, incluso válvula tipo americana em metal cromado e sifão flexível em pvc</t>
  </si>
  <si>
    <t>Chuveiro e Lava Olhos de Emergência</t>
  </si>
  <si>
    <t>Bancada para cozinha em aço inox  nas dimensões 2,91m x 0,60m com 02 cubas em aço inox de dimensões 0,50 x 0,45 x 0,35, inclusive torneira de pressão para pia longa de parede, sifão metálico para pia e válvula de escoamento metálica para pia de cozinha, fixada sobre parede de alvenaria de tijolo de 1/2 vez acabamento em azulejo ceramico esmaltado de dimensões 150mm x 150mm com rejunte de cor branco.</t>
  </si>
  <si>
    <t>Torneira de pressão metálica para uso geral (Para Escovodramo)</t>
  </si>
  <si>
    <t>Lavatório em louça, branco, com coluna suspensa, para PCD, inclusive torneira metálica de alavanca e acessórios de instalação</t>
  </si>
  <si>
    <t>Vaso sanitario para PCD, sem furo frontal</t>
  </si>
  <si>
    <t>VALVULA DESCARGA 1.1/2" COM REGISTRO, ACABAMENTO EM METAL CROMADO COM ALAVANCA PARA PCD</t>
  </si>
  <si>
    <t xml:space="preserve"> ducha higienica plastica com registro metalico 1/2"</t>
  </si>
  <si>
    <t xml:space="preserve">Caixa de gordura dupla em concreto pre-moldado dn 60mm com tampa </t>
  </si>
  <si>
    <t xml:space="preserve">Caixa de inspeção em alvenaria de tijolo maciço 60x60x60cm, </t>
  </si>
  <si>
    <t xml:space="preserve">Caixa de inspeção 80x80x80cm em alvenaria </t>
  </si>
  <si>
    <t>Caixa sifonada, pvc, dn 100 x 100 x 50 mm</t>
  </si>
  <si>
    <t>Caixa sifonada de PVC com grelha branca, 150 x 150 x 50 mm</t>
  </si>
  <si>
    <t>Curva 45° longa de PVC branco, ponta bolsa e virola, Ø 100 mm</t>
  </si>
  <si>
    <t>Curva 45° longa de PVC branco, ponta bolsa e virola, Ø 50 mm</t>
  </si>
  <si>
    <t>Curva 45° longa de PVC branco, ponta bolsa e virola, Ø 75 mm</t>
  </si>
  <si>
    <t>Curva 45° longa de PVC branco, ponta e bolsa soldável, Ø 40 mm</t>
  </si>
  <si>
    <t>Curva curta 90 graus, pvc, serie normal, esgoto predial, dn 100 mm</t>
  </si>
  <si>
    <t>Curva curta 90 graus, pvc, serie normal, esgoto predial, dn 40 mm</t>
  </si>
  <si>
    <t>Joelho 90 graus, pvc, serie normal, esgoto predial, dn 50 mm</t>
  </si>
  <si>
    <t>Joelho 90 graus, pvc, serie normal, esgoto predial, dn 75 mm</t>
  </si>
  <si>
    <t>Joelho 90 graus, pvc, serie normal, esgoto predial, dn 100 mm</t>
  </si>
  <si>
    <t>Joelho 90 graus, pvc, serie normal, esgoto predial, dn 40 mm</t>
  </si>
  <si>
    <t>Junção 45° de PVC branco com redução, ponta bolsa e virola, Ø 100 x 50 mm</t>
  </si>
  <si>
    <t xml:space="preserve">Junção simples, pvc, serie normal, esgoto predial, dn 100 x 100 mm, </t>
  </si>
  <si>
    <t>Junção simples, pvc, serie normal, esgoto predial, dn 50 x 50 mm</t>
  </si>
  <si>
    <t xml:space="preserve">Junção 45° de pvc branco com redução, ponta bolsa e virola, ø 75 x 50 mm </t>
  </si>
  <si>
    <t>Redução excêntrica pbv de PVC branco, Ø 100 x 50 mm</t>
  </si>
  <si>
    <t>Redução excêntrica, pvc, serie r, água pluvial, dn 75 x 50 mm</t>
  </si>
  <si>
    <t>Tubo pvc, serie normal, esgoto predial, dn 100 mm</t>
  </si>
  <si>
    <t>Tubo pvc, serie normal, esgoto predial, dn 50 mm</t>
  </si>
  <si>
    <t>Tubo pvc, serie normal, esgoto predial, dn 75 mm</t>
  </si>
  <si>
    <t>Tubo pvc, serie normal, esgoto predial, dn 150 mm</t>
  </si>
  <si>
    <t>Tubo pvc, serie normal, esgoto predial, dn 40 mm</t>
  </si>
  <si>
    <t xml:space="preserve">Curva curta 90 graus, pvc, serie normal, esgoto predial, dn 50 mm, </t>
  </si>
  <si>
    <t>terminal de ventilação, série normal, DN 50mm</t>
  </si>
  <si>
    <t>Te, pvc, serie normal, esgoto predial, dn 50 x 50 mm</t>
  </si>
  <si>
    <t>Execução de filtro anaeróbico d=2m e profundidade=2,50m</t>
  </si>
  <si>
    <r>
      <t>dimensões úteis do sumidouro : diametro 3,00m profundidade 3,00m</t>
    </r>
    <r>
      <rPr>
        <sz val="11"/>
        <color indexed="10"/>
        <rFont val="Calibri Light"/>
        <family val="2"/>
      </rPr>
      <t xml:space="preserve"> </t>
    </r>
  </si>
  <si>
    <t>Valvula de retenção horinzontal 32mm</t>
  </si>
  <si>
    <t>Registro de esfera PVC 25mm</t>
  </si>
  <si>
    <t>Valvula de sucção 32mm</t>
  </si>
  <si>
    <t>73795/003</t>
  </si>
  <si>
    <t>EXECUÇÃO DE PASSEIO (CALÇADA) OU PISO DE CONCRETO COM CONCRETO MOLDADO IN LOCO, FEITO EM OBRA, ACABAMENTO CONVENCIONAL, ESPESSURA 8 CM, ARMADO. AF_07/2016</t>
  </si>
  <si>
    <t>SDC01045</t>
  </si>
  <si>
    <t>LIXA EM FOLHA PARA PAREDE OU MADEIRA, NUMERO 120 (COR VERMELHA)</t>
  </si>
  <si>
    <t>CONSIDERADO NA ÁREA TOTAL</t>
  </si>
  <si>
    <r>
      <t xml:space="preserve">Pintura  </t>
    </r>
    <r>
      <rPr>
        <b/>
        <sz val="11"/>
        <rFont val="Calibri Light"/>
        <family val="2"/>
      </rPr>
      <t>epóxi</t>
    </r>
    <r>
      <rPr>
        <sz val="11"/>
        <rFont val="Calibri Light"/>
        <family val="2"/>
      </rPr>
      <t xml:space="preserve"> em piso de concreto</t>
    </r>
  </si>
  <si>
    <t>Quadra</t>
  </si>
  <si>
    <t>Em torno da quadra</t>
  </si>
  <si>
    <t>23.6</t>
  </si>
  <si>
    <t>JÁ CONSIDERADO NO CONTRAPISO ARMADO</t>
  </si>
  <si>
    <t>JÁ CONSIDERADO NA MOVIMENTAÇÃO DE TERRAS</t>
  </si>
  <si>
    <t>JOELHO 90 GRAUS, PVC, SOLDÁVEL, DN 32MM, INSTALADO EM RAMAL OU SUB-RAMAL DE ÁGUA - FORNECIMENTO E INSTALAÇÃO. AF_12/2014</t>
  </si>
  <si>
    <t>Liquibrilho para barrado externo H=1,20cm
*Paredes externas vestiario e Quadra: 118,15ml x 1,20ml altura</t>
  </si>
  <si>
    <t>Igual as áreas emassadas (-)  pintura pantone</t>
  </si>
  <si>
    <t>Fundo Selador Paredes Externas</t>
  </si>
  <si>
    <t>*Faixa na parede lateral esquerda (arquibancada): 18,22m² + Arquibancada204,02m²
*Faixa na parede em frente ao vestiario: (10,35ml + 12,90ml) x 1,50 altura
*Faixa na parede área posterior fachada frontal: 29,85ml x 1,50 altura</t>
  </si>
  <si>
    <t>Faixa na parede lateral esquerda (arquibancada): 49,70ml x 0,25 altura
Faixa na parede em frente ao vestiario: (10,35ml + 12,90ml) x 0,25 altura
Faixa na parede área posterior fachada frontal: 29,85ml x 0,25 altura</t>
  </si>
  <si>
    <t>Esmalte Sint. Metálica (Brises Metálicos) Cor: 308U</t>
  </si>
  <si>
    <t>13,20m² x 08un x 2 lados</t>
  </si>
  <si>
    <t>CAP PVC, SOLDAVEL, 25 MM, PARA AGUA FRIA PREDIAL</t>
  </si>
  <si>
    <t>SDC02088</t>
  </si>
  <si>
    <t>48.7</t>
  </si>
  <si>
    <t>SDC01019</t>
  </si>
  <si>
    <t>APLICAÇÃO DE LIQUIBRILHO SOBRE PINTURAS, DUAS DEMÃOS</t>
  </si>
  <si>
    <t>SEINFRA C3487</t>
  </si>
  <si>
    <t>LIQUIDO PARA BRILHO PAREDES INTERNAS</t>
  </si>
  <si>
    <t>REGISTRO DE GAVETA BRUTO, LATÃO, ROSCÁVEL, 1 1/2, INSTALADO EM RESERVAÇÃO DE ÁGUA DE EDIFICAÇÃO QUE POSSUA RESERVATÓRIO DE FIBRA/FIBROCIMENTO  FORNECIMENTO E INSTALAÇÃO. AF_06/2016</t>
  </si>
  <si>
    <t>LUVA COM BUCHA DE LATÃO, PVC, SOLDÁVEL, DN 20MM X 1/2, INSTALADO EM RAMAL DE DISTRIBUIÇÃO DE ÁGUA - FORNECIMENTO E INSTALAÇÃO. AF_12/2014</t>
  </si>
  <si>
    <t>ADAPTADOR CURTO COM BOLSA E ROSCA PARA REGISTRO, PVC, SOLDÁVEL, DN 20MM X 1/2, INSTALADO EM RAMAL OU SUB-RAMAL DE ÁGUA - FORNECIMENTO E INSTALAÇÃO. AF_12/2014</t>
  </si>
  <si>
    <r>
      <rPr>
        <b/>
        <sz val="11"/>
        <color rgb="FFFF0000"/>
        <rFont val="Calibri Light"/>
        <family val="2"/>
      </rPr>
      <t>Fechamento:</t>
    </r>
    <r>
      <rPr>
        <b/>
        <sz val="11"/>
        <rFont val="Calibri Light"/>
        <family val="2"/>
      </rPr>
      <t xml:space="preserve">
*</t>
    </r>
    <r>
      <rPr>
        <sz val="11"/>
        <rFont val="Calibri Light"/>
        <family val="2"/>
      </rPr>
      <t>Área de alvenaria do Vestiário + Quadra x 2 lados 
*Arquibancada: 279,09m²
*Pilares de acesso 9unx 1,70x3,20</t>
    </r>
  </si>
  <si>
    <r>
      <rPr>
        <b/>
        <sz val="11"/>
        <rFont val="Calibri Light"/>
        <family val="2"/>
      </rPr>
      <t>Áreas de azulejo: altura de 3,00m:</t>
    </r>
    <r>
      <rPr>
        <sz val="11"/>
        <rFont val="Calibri Light"/>
        <family val="2"/>
      </rPr>
      <t xml:space="preserve"> 
Vestiario F/M = 17,00ml x 2un = 34,00ml x 3,00ml altura (-) 1J2,1P2
Vestiarios F/M PCD = 9,60ml x 2un = 19,20 x 3,00ml altura (-) J19, 1P4
Circulação = 12,70ml x 3,00ml altura (-) 2P2, 2P4, 2J9, abertura de acesso 3,00x2,50
*Pilares de acesso 9unx 1,70x1,50</t>
    </r>
  </si>
  <si>
    <t>BUCHA DE REDUÇÃO, PVC, SOLDÁVEL, DN 50MM X 20MM, INSTALADO EM RAMAL DE DISTRIBUIÇÃO DE ÁGUA - FORNECIMENTO E INSTALAÇÃO.</t>
  </si>
  <si>
    <t>BUCHA DE REDUCAO DE PVC, SOLDAVEL, LONGA, COM 50 X 20 MM, PARA AGUA FRIA PREDIAL</t>
  </si>
  <si>
    <t>SDC02045</t>
  </si>
  <si>
    <t>BUCHA DE REDUÇÃO, PVC, SOLDÁVEL, DN 75MM X 50MM, INSTALADO EM RAMAL DE DISTRIBUIÇÃO DE ÁGUA - FORNECIMENTO E INSTALAÇÃO.</t>
  </si>
  <si>
    <t>BUCHA DE REDUCAO DE PVC, SOLDAVEL, LONGA, COM 75 X 50 MM, PARA AGUA FRIA PREDIAL</t>
  </si>
  <si>
    <t>TE, PVC, SOLDÁVEL, DN 75MM, INSTALADO EM PRUMADA DE ÁGUA - FORNECIMENTO E INSTALAÇÃO. AF_12/2014</t>
  </si>
  <si>
    <t>TE DE REDUCAO, PVC, SOLDAVEL, 90 GRAUS, 85 MM X 60 MM, PARA AGUA FRIA PREDIAL</t>
  </si>
  <si>
    <t>SDC02043</t>
  </si>
  <si>
    <t>JOELHO 90 GRAUS COM BUCHA DE LATÃO, PVC, SOLDÁVEL, DN 20MM, X 1/2 INSTALADO EM RAMAL OU SUB-RAMAL DE ÁGUA - FORNECIMENTO E INSTALAÇÃO.</t>
  </si>
  <si>
    <t>JOELHO PVC, SOLDAVEL, COM BUCHA DE LATAO, 90 GRAUS, 20 MM X 1/2", PARA AGUA FRIA PREDIAL</t>
  </si>
  <si>
    <t>SDC02056</t>
  </si>
  <si>
    <t>CAIXA D'AGUA TIPO TAÇA COM CAPACIDADE DE 10.000 LITROS COM COLUNA SECA, INCLUSIVE INSTALAÇÃO</t>
  </si>
  <si>
    <t>LANCAMENTO/APLICACAO MANUAL DE CONCRETO EM FUNDACOES</t>
  </si>
  <si>
    <t>CINTHIA</t>
  </si>
  <si>
    <t>3661-1135</t>
  </si>
  <si>
    <t>AÇOBETT</t>
  </si>
  <si>
    <t>02.465.581/0001-62</t>
  </si>
  <si>
    <t>ROSANA</t>
  </si>
  <si>
    <t>98458-9142</t>
  </si>
  <si>
    <t>METALÚRGICA BRASFFER</t>
  </si>
  <si>
    <t>IURI</t>
  </si>
  <si>
    <t>3682-6168</t>
  </si>
  <si>
    <t>SVG METALÚRGICA</t>
  </si>
  <si>
    <t>10.357.293/0001-12</t>
  </si>
  <si>
    <t>BOMBA CENTRIFUGA C/ MOTOR ELETRICO TRIFASICO 1CV</t>
  </si>
  <si>
    <t>BANCADA EM AÇO INOX 2,46X0,8M COM 01 CUBA</t>
  </si>
  <si>
    <t>05.273.304/0001-46</t>
  </si>
  <si>
    <t>BANCADA PARA COZINHA EM AÇO INOX NAS DIMENSÕES 2,46X0,80M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</si>
  <si>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SDC02057</t>
  </si>
  <si>
    <t>VALVULA DESCARGA 1.1/2" COM REGISTRO, ACABAMENTO EM METAL CROMADO COM ALAVANCA PARA PCD- FORNECIMENTO E INSTALACAO</t>
  </si>
  <si>
    <t>SINAPI 40729</t>
  </si>
  <si>
    <t>ESTOPA</t>
  </si>
  <si>
    <t>VÁLVULA DE DESCARGA, BASE, 1 1/2"</t>
  </si>
  <si>
    <t>ACABAMENTO METAL CROMADO, PARA VALVULA DESCARGA, COM ALAVANCA PARA PCD</t>
  </si>
  <si>
    <r>
      <t>*Laterais Cozinha: 9,10ml x 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</si>
  <si>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r>
      <rPr>
        <sz val="11"/>
        <color rgb="FFFF0000"/>
        <rFont val="Calibri Light"/>
        <family val="2"/>
      </rPr>
      <t>Paredes</t>
    </r>
    <r>
      <rPr>
        <sz val="11"/>
        <rFont val="Calibri Light"/>
        <family val="2"/>
      </rPr>
      <t xml:space="preserve">
*Laterais Cozinha: 9,10ml x 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</si>
  <si>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t>Emassamento Laje - Interno</t>
  </si>
  <si>
    <t>Pintura Laje - Interno</t>
  </si>
  <si>
    <r>
      <t>Pintura Látex acrílica com desconto de áreas de revestimento 5x5cm
*Laterais Cozinha: 9,10ml x3,90ml altura = 35,49m² x 2 lados = 70,98m² (-) 4J4, 2J6 = 63,94m²
*Parede Fundo da Cozinha: 59,86m²
*Parede Frente da Cozinha (acima das pastilhas): 55,90m²</t>
    </r>
    <r>
      <rPr>
        <sz val="11"/>
        <color rgb="FFFF0000"/>
        <rFont val="Calibri Light"/>
        <family val="2"/>
      </rPr>
      <t xml:space="preserve">
</t>
    </r>
    <r>
      <rPr>
        <sz val="11"/>
        <rFont val="Calibri Light"/>
        <family val="2"/>
      </rPr>
      <t>*Fechamento Lateral área aberta (Refeitório) com desconto de vigas e Cobogó: 21,40m²  x 2 lados = 53,40m² X 2 
*Fechamento parede frente Refeitorio = 35,85m² 
*11 Pilares de 15x30 x 2,40altura</t>
    </r>
  </si>
  <si>
    <t>SDC01094</t>
  </si>
  <si>
    <t>CALHA EM CHAPA DE AÇO GALVANIZADO NÚMERO 24, DESENVOLVIMENTO DE 100 CM, INCLUSO TRANSPORTE VERTICAL</t>
  </si>
  <si>
    <t>Área de cobertura secretária = 34,50m²</t>
  </si>
  <si>
    <t>Área de cobertura dos blocos de sala de aula bloco 01 - 24,74x46,20= 1. 142,98 bloco 02- 24,74*52,20=1.291,42m²</t>
  </si>
  <si>
    <t>Comprimento de calha da área de cobertura da secretária = 7,20+6,9 = 14,10m</t>
  </si>
  <si>
    <t>Comprimento do rufo da área de cobertura da secretária =38,16m</t>
  </si>
  <si>
    <t>Sala dos Professores+ Sala de Reunião+ Coordenadoria+ Diretoria</t>
  </si>
  <si>
    <t>Biblioteca + Sala de Aula + Lab. De Física + Lab. De Química + Sala de Informática + Sala Articulada</t>
  </si>
  <si>
    <t>P7 - Porta metálica 1 Folha - 0,80 x 2,10</t>
  </si>
  <si>
    <t>Arquivo, copa,  lav. Profs, banheiro de alunos</t>
  </si>
  <si>
    <t>J1 - Janela MAXIM-AR - 3 folhas - 3,0 x 0,60 x 1,95</t>
  </si>
  <si>
    <t>J2 - Janela MAXIM-AR - 3 folhas - 3,0 x 0,80 x 1,95</t>
  </si>
  <si>
    <t>J3 - MAXM- AR 1 folha ( 1,20x2,40x0,15)</t>
  </si>
  <si>
    <t>J5 - MAXIM-AR 1 folhas 0,4x0,4 peitoril 1,95</t>
  </si>
  <si>
    <t>J8 - MAXIM-AR 3 folhas 2,0x0,8 peitoril 1,95</t>
  </si>
  <si>
    <t>VERGA E CONTRA VERGA</t>
  </si>
  <si>
    <t>Reboco e emboço</t>
  </si>
  <si>
    <t xml:space="preserve">Chapisco da laje </t>
  </si>
  <si>
    <t xml:space="preserve">laje do bloco educacional </t>
  </si>
  <si>
    <t xml:space="preserve">Reboco da laje </t>
  </si>
  <si>
    <t xml:space="preserve">azulejo tipo gres 20x20 </t>
  </si>
  <si>
    <t>azulejo 20x20cm, cor branco - banheiros e copa</t>
  </si>
  <si>
    <t>Pastilha 5x5 cor branco e faixa azul</t>
  </si>
  <si>
    <t>Pastilha 5x5 cor branco h=1,40m e 10cm de pastilha cor azul- totalizando h=1,50m- usado dentro das salas de aula, laboratorios, biblioteca, diretoria, coordenadoria, sala de reuniao, secretaria.</t>
  </si>
  <si>
    <t xml:space="preserve">Pastilha 5x5 cor azul </t>
  </si>
  <si>
    <t>pastilha na circulação das salas de aula, nas cores azul claro, azul médio e azul escuro, na altura de 1,10m</t>
  </si>
  <si>
    <t xml:space="preserve">Pastilha 5x5 na fachada </t>
  </si>
  <si>
    <t xml:space="preserve">pastilha azul claro, médio e escuro na fachada e no patío coberto </t>
  </si>
  <si>
    <t xml:space="preserve">Área dos blocos de sala(salas, banheiros, adm, corredores) = 1976,65 </t>
  </si>
  <si>
    <t xml:space="preserve">Soleira em todas as portas do bloco educaional - ver projeto </t>
  </si>
  <si>
    <t xml:space="preserve">paredes internas do bloco educacional, pintura acima dos barrados das salas e da circulação  </t>
  </si>
  <si>
    <t>Aplicação de massa latex no forro (laje)</t>
  </si>
  <si>
    <t>Tinta latéx pva em paredes internas no forro ( laje)</t>
  </si>
  <si>
    <t>Liquibrilho- transparente</t>
  </si>
  <si>
    <t>Área externa do bloco educacional h= 1,10m.</t>
  </si>
  <si>
    <t>FORROS / LAJES E DIVISÓRIAS</t>
  </si>
  <si>
    <t>Área dos banheiros e copa</t>
  </si>
  <si>
    <t>bancada laboratorios, bancada banheiros , copa- 10,61+17,57+2,68+2,68+1,50= 35,04m²</t>
  </si>
  <si>
    <t xml:space="preserve">Pintura acessivel - vaga estacionamento </t>
  </si>
  <si>
    <t>pintura de acessibilidade no estacionamento PCD</t>
  </si>
  <si>
    <t>2.12</t>
  </si>
  <si>
    <t>SDC01081</t>
  </si>
  <si>
    <t>FORNECIMENTO E INSTALAÇÃO DE COBERTURA EM POLICARBONATO COMPACTO, 3MM, COR CINZA</t>
  </si>
  <si>
    <t>Banheiros - 8 un</t>
  </si>
  <si>
    <t>8.7</t>
  </si>
  <si>
    <t>8.8</t>
  </si>
  <si>
    <t>CHAPISCO APLICADO NO TETO, COM ROLO PARA TEXTURA ACRÍLICA. ARGAMASSA TRAÇO 1:4 E EMULSÃO POLIMÉRICA (ADESIVO) COM PREPARO EM BETONEIRA 400L. AF_06/2014</t>
  </si>
  <si>
    <t>ASSENTAMENTO DE GUIA (MEIO-FIO) EM TRECHO CURVO, CONFECCIONADA EM CONCRETO PRÉ-FABRICADO, DIMENSÕES 100X15X13X30 CM (COMPRIMENTO X BASE INFERIOR X BASE SUPERIOR X ALTURA), PARA VIAS URBANAS (USO VIÁRIO). AF_06/2016</t>
  </si>
  <si>
    <t>ASSENTAMENTO DE GUIA (MEIO-FIO) EM TRECHO RETO, CONFECCIONADA EM CONCRETO PRÉ-FABRICADO, DIMENSÕES 100X15X13X30 CM (COMPRIMENTO X BASE INFERIOR X BASE SUPERIOR X ALTURA), PARA VIAS URBANAS (USO VIÁRIO). AF_06/2016</t>
  </si>
  <si>
    <t>28.5</t>
  </si>
  <si>
    <t>28.6</t>
  </si>
  <si>
    <t>APLICAÇÃO E LIXAMENTO DE MASSA LÁTEX EM TETO, DUAS DEMÃOS. AF_06/2014</t>
  </si>
  <si>
    <t>Nome da escola</t>
  </si>
  <si>
    <t>1 nos blodos de salas de aula</t>
  </si>
  <si>
    <t xml:space="preserve">DRENO DOS CONDICIONADORES DE AR </t>
  </si>
  <si>
    <t>Caixa de passagem 30x30x40 com tampa e dreno brita</t>
  </si>
  <si>
    <t>DRENAGEM</t>
  </si>
  <si>
    <t>Construção de vala de drenagem de águas pluviais em U/V ,em concreto não estrutural com espessura de 0,07m, com inclinação interna de 30° e abertura superior de 0,40m, com escavação de vala, regularização e compactação de fundo de vala,  e regularização das duas laterais da vala (calçada) em concreto não estrutural de espessura de 0,07m e largura igual a 0,30m</t>
  </si>
  <si>
    <t>Caixa de inspeção  60x60x60cm</t>
  </si>
  <si>
    <t>Caixa de inspeção  80x80xCM</t>
  </si>
  <si>
    <t>Tubo pvc, serie normal, esgoto predial, dn 100 mm. (Para escoamento da vala de drenagem)</t>
  </si>
  <si>
    <t>Escavação manual para tubo de 100mm</t>
  </si>
  <si>
    <t>Reaterro</t>
  </si>
  <si>
    <t>LEVANTAMENTO QUANTITATIVOS ARQUIBANCADA</t>
  </si>
  <si>
    <t>TELA - Q92 (x1,20 DE PERDA)</t>
  </si>
  <si>
    <t>ALVENARIA EM BLOCOS DE CONCRETO ESTRUTURAL (DIMENSÃO DO BLOCO 14x19x39cm) FCK=4,5MPA</t>
  </si>
  <si>
    <t>14.2</t>
  </si>
  <si>
    <t>16.4</t>
  </si>
  <si>
    <t>16.11</t>
  </si>
  <si>
    <t>16.12</t>
  </si>
  <si>
    <t>21.3</t>
  </si>
  <si>
    <t>21.4</t>
  </si>
  <si>
    <t>25.7</t>
  </si>
  <si>
    <t>27.4</t>
  </si>
  <si>
    <t>28.7</t>
  </si>
  <si>
    <t>42.5</t>
  </si>
  <si>
    <t>42.6</t>
  </si>
  <si>
    <t>43.2</t>
  </si>
  <si>
    <t>47.2</t>
  </si>
  <si>
    <t>47.3</t>
  </si>
  <si>
    <t>47.4</t>
  </si>
  <si>
    <t>47.5</t>
  </si>
  <si>
    <t>47.6</t>
  </si>
  <si>
    <t>47.7</t>
  </si>
  <si>
    <t>49.1</t>
  </si>
  <si>
    <t>51.10</t>
  </si>
  <si>
    <t>51.11</t>
  </si>
  <si>
    <t>51.12</t>
  </si>
  <si>
    <t>51.13</t>
  </si>
  <si>
    <t>51.14</t>
  </si>
  <si>
    <t>51.15</t>
  </si>
  <si>
    <t>54.3</t>
  </si>
  <si>
    <t>54.4</t>
  </si>
  <si>
    <t>54.5</t>
  </si>
  <si>
    <t>54.6</t>
  </si>
  <si>
    <t>54.7</t>
  </si>
  <si>
    <t>54.8</t>
  </si>
  <si>
    <t>55.4</t>
  </si>
  <si>
    <t>55.5</t>
  </si>
  <si>
    <t>55.6</t>
  </si>
  <si>
    <t>58.5</t>
  </si>
  <si>
    <t>60.4</t>
  </si>
  <si>
    <t>60.5</t>
  </si>
  <si>
    <t>60.6</t>
  </si>
  <si>
    <t>60.7</t>
  </si>
  <si>
    <t>60.8</t>
  </si>
  <si>
    <t>60.9</t>
  </si>
  <si>
    <t>60.10</t>
  </si>
  <si>
    <t>65.5</t>
  </si>
  <si>
    <t>65.6</t>
  </si>
  <si>
    <t>65.7</t>
  </si>
  <si>
    <t>65.8</t>
  </si>
  <si>
    <t>65.9</t>
  </si>
  <si>
    <t>65.10</t>
  </si>
  <si>
    <t>65.11</t>
  </si>
  <si>
    <t>65.12</t>
  </si>
  <si>
    <t>65.13</t>
  </si>
  <si>
    <t>65.14</t>
  </si>
  <si>
    <t>65.15</t>
  </si>
  <si>
    <t>66.3</t>
  </si>
  <si>
    <t>66.4</t>
  </si>
  <si>
    <t>66.5</t>
  </si>
  <si>
    <t>66.6</t>
  </si>
  <si>
    <t>66.7</t>
  </si>
  <si>
    <t>66.8</t>
  </si>
  <si>
    <t>66.9</t>
  </si>
  <si>
    <t>66.10</t>
  </si>
  <si>
    <t>66.11</t>
  </si>
  <si>
    <t>66.12</t>
  </si>
  <si>
    <t>66.13</t>
  </si>
  <si>
    <t>66.14</t>
  </si>
  <si>
    <t>66.15</t>
  </si>
  <si>
    <t>66.16</t>
  </si>
  <si>
    <t>66.17</t>
  </si>
  <si>
    <t>66.18</t>
  </si>
  <si>
    <t>66.19</t>
  </si>
  <si>
    <t>66.20</t>
  </si>
  <si>
    <t>66.21</t>
  </si>
  <si>
    <t>66.22</t>
  </si>
  <si>
    <t>66.23</t>
  </si>
  <si>
    <t>66.24</t>
  </si>
  <si>
    <t>66.25</t>
  </si>
  <si>
    <t>66.26</t>
  </si>
  <si>
    <t>66.27</t>
  </si>
  <si>
    <t>66.28</t>
  </si>
  <si>
    <t>66.29</t>
  </si>
  <si>
    <t>70.0</t>
  </si>
  <si>
    <t>70.1</t>
  </si>
  <si>
    <t>70.2</t>
  </si>
  <si>
    <t>70.3</t>
  </si>
  <si>
    <t>70.4</t>
  </si>
  <si>
    <t>70.5</t>
  </si>
  <si>
    <t>70.6</t>
  </si>
  <si>
    <t>70.7</t>
  </si>
  <si>
    <t>70.8</t>
  </si>
  <si>
    <t>70.9</t>
  </si>
  <si>
    <t>70.10</t>
  </si>
  <si>
    <t>70.11</t>
  </si>
  <si>
    <t>71.0</t>
  </si>
  <si>
    <t>71.1</t>
  </si>
  <si>
    <t>71.2</t>
  </si>
  <si>
    <t>01.180.102/0001-07</t>
  </si>
  <si>
    <t>CENEDON</t>
  </si>
  <si>
    <t>07.871.559/0001-36</t>
  </si>
  <si>
    <t>SDC02064</t>
  </si>
  <si>
    <t>FOSSA SÉPTICA EM ALVENARIA - TIJOLO COMUM MACIÇO, DIMENSOES 475 X 240 X 180 CM (20,52M³)</t>
  </si>
  <si>
    <t>63.4</t>
  </si>
  <si>
    <r>
      <rPr>
        <b/>
        <sz val="11"/>
        <color rgb="FFFF0000"/>
        <rFont val="Calibri Light"/>
        <family val="2"/>
      </rPr>
      <t>Fechamento:</t>
    </r>
    <r>
      <rPr>
        <b/>
        <sz val="11"/>
        <rFont val="Calibri Light"/>
        <family val="2"/>
      </rPr>
      <t xml:space="preserve">
*</t>
    </r>
    <r>
      <rPr>
        <sz val="11"/>
        <rFont val="Calibri Light"/>
        <family val="2"/>
      </rPr>
      <t>Área de alvenaria do Vestiário + Quadra x 2 lados 
*Arquibancada: 279,09m²
*Pilares de acesso 9unx 1,70x1,70
(-) Emboço</t>
    </r>
  </si>
  <si>
    <t>02un P2 (0,90)
02un P4 (0,90)
Vão de acesso vestiario/quadra 3,00ml</t>
  </si>
  <si>
    <t>Pintura Latéx Acrílica Branco Gelo Interno/ Externo</t>
  </si>
  <si>
    <r>
      <t>Alvenarias:                                                                          
*</t>
    </r>
    <r>
      <rPr>
        <sz val="11"/>
        <color rgb="FFFF0000"/>
        <rFont val="Calibri Light"/>
        <family val="2"/>
      </rPr>
      <t xml:space="preserve">H = 3,80ml   </t>
    </r>
    <r>
      <rPr>
        <sz val="11"/>
        <rFont val="Calibri Light"/>
        <family val="2"/>
      </rPr>
      <t xml:space="preserve">                                                                (2,65+4,05+6,05+5,45+2,65+4,15+1,40+3,25+2,5+4,75+9,10+9,10) =55,10ml x 3,80 = 209,38m² (-) 27,76m² = </t>
    </r>
    <r>
      <rPr>
        <b/>
        <sz val="11"/>
        <rFont val="Calibri Light"/>
        <family val="2"/>
      </rPr>
      <t xml:space="preserve">181,62m²  </t>
    </r>
    <r>
      <rPr>
        <sz val="11"/>
        <rFont val="Calibri Light"/>
        <family val="2"/>
      </rPr>
      <t xml:space="preserve">  
*Parede Fundo da Cozinha:</t>
    </r>
    <r>
      <rPr>
        <b/>
        <sz val="11"/>
        <rFont val="Calibri Light"/>
        <family val="2"/>
      </rPr>
      <t xml:space="preserve"> 59,86m²</t>
    </r>
    <r>
      <rPr>
        <sz val="11"/>
        <rFont val="Calibri Light"/>
        <family val="2"/>
      </rPr>
      <t xml:space="preserve">
*Parede Frente da Cozinha: </t>
    </r>
    <r>
      <rPr>
        <b/>
        <sz val="11"/>
        <rFont val="Calibri Light"/>
        <family val="2"/>
      </rPr>
      <t>61,17m²</t>
    </r>
    <r>
      <rPr>
        <sz val="11"/>
        <rFont val="Calibri Light"/>
        <family val="2"/>
      </rPr>
      <t xml:space="preserve">
*</t>
    </r>
    <r>
      <rPr>
        <sz val="11"/>
        <color rgb="FFFF0000"/>
        <rFont val="Calibri Light"/>
        <family val="2"/>
      </rPr>
      <t xml:space="preserve">H = 1,50m     </t>
    </r>
    <r>
      <rPr>
        <sz val="11"/>
        <rFont val="Calibri Light"/>
        <family val="2"/>
      </rPr>
      <t xml:space="preserve">                                                                                                    Mureta Cozinha                                                                                                         2,50 x 1,50 =</t>
    </r>
    <r>
      <rPr>
        <b/>
        <sz val="11"/>
        <rFont val="Calibri Light"/>
        <family val="2"/>
      </rPr>
      <t xml:space="preserve"> 3,75m²
</t>
    </r>
    <r>
      <rPr>
        <sz val="11"/>
        <rFont val="Calibri Light"/>
        <family val="2"/>
      </rPr>
      <t xml:space="preserve">
*Fechamento Lateral área aberta (Refeitório) com desconto de vigas e Cobogó: 21,40m²  x 2 lados = </t>
    </r>
    <r>
      <rPr>
        <b/>
        <sz val="11"/>
        <rFont val="Calibri Light"/>
        <family val="2"/>
      </rPr>
      <t xml:space="preserve">53,40m² X 2 
</t>
    </r>
    <r>
      <rPr>
        <sz val="11"/>
        <rFont val="Calibri Light"/>
        <family val="2"/>
      </rPr>
      <t xml:space="preserve">*Fechamento parede frente Refeitorio = </t>
    </r>
    <r>
      <rPr>
        <b/>
        <sz val="11"/>
        <rFont val="Calibri Light"/>
        <family val="2"/>
      </rPr>
      <t xml:space="preserve">23,55m² </t>
    </r>
  </si>
  <si>
    <t>Triagem: 14,87m²  
WC funcionarios fem: 3,75m² 
WC funcionario masc: 3,75m² 
Cozinha: 48,90m² 
Circulação: 24,80m²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 Refeitório: 239,16m²</t>
  </si>
  <si>
    <t>08un P2 (0,90)
02un P7 (0,80
Contorno refeitório : 3,84+3,95+3,95+4,01+4,51+4,48+4,51+4,01+3,95+3,95+3,84: 45,00ml
Circulação fundos: 2,55 + 5,45</t>
  </si>
  <si>
    <t>Pintura em esmalte sintetico para esquadrias
P2 0,90 x2,10 (08un) x 2 lados
P7 0,80 x2,10 (02un) x 2 lados</t>
  </si>
  <si>
    <t>Cobogó na parede de fechamento lateral Refeitório: 22,00m²
Cobogó na parede de fechamento frontal Refeitório: 9,45m²</t>
  </si>
  <si>
    <r>
      <rPr>
        <sz val="11"/>
        <color rgb="FFFF0000"/>
        <rFont val="Calibri Light"/>
        <family val="2"/>
      </rPr>
      <t xml:space="preserve">H=3,80ml (Pé direito)  </t>
    </r>
    <r>
      <rPr>
        <sz val="11"/>
        <rFont val="Calibri Light"/>
        <family val="2"/>
      </rPr>
      <t xml:space="preserve">                                                                                         DML - 8,70ml (-) 1P2, 1J6                                                                                  Triagem - 16,90ml (-) 2P2, 2J4                                                                         Desp. Alimentos - 12,90ml (-) 1P2, 1J4                                                        Desp. Utensil. - 12,90ml (-) 1P2, 1J4                                                             Wc Fem/Masc. - 8,00ml x 2un  (-) 2J6, 2P7                                                Cozinha - 30,38ml (-) 6P2, 2J6, 2J4, 2J7    
Circulação/A. Serviço - 16,40ml (-) 4P2, 1J4, 2J6, 2P7                                                                                                                                                                </t>
    </r>
    <r>
      <rPr>
        <sz val="11"/>
        <color rgb="FFFF0000"/>
        <rFont val="Calibri Light"/>
        <family val="2"/>
      </rPr>
      <t xml:space="preserve">H=1,50ml   </t>
    </r>
    <r>
      <rPr>
        <sz val="11"/>
        <rFont val="Calibri Light"/>
        <family val="2"/>
      </rPr>
      <t xml:space="preserve">                                                                                                               Mureta div. Cozinha - 5,15ml   
11un de Pilar (0,30x0,15) =  14,85m²
</t>
    </r>
    <r>
      <rPr>
        <sz val="11"/>
        <color rgb="FFFF0000"/>
        <rFont val="Calibri Light"/>
        <family val="2"/>
      </rPr>
      <t xml:space="preserve">H=1,20ml               </t>
    </r>
    <r>
      <rPr>
        <sz val="11"/>
        <rFont val="Calibri Light"/>
        <family val="2"/>
      </rPr>
      <t xml:space="preserve">                                                                                       Parede externa da cozinha de frente para o Refeitório - 14,50ml (-) 1P2, 2J7
</t>
    </r>
  </si>
  <si>
    <r>
      <rPr>
        <sz val="11"/>
        <color rgb="FFFF0000"/>
        <rFont val="Calibri Light"/>
        <family val="2"/>
      </rPr>
      <t xml:space="preserve">H=3,80ml (Pé direito)  </t>
    </r>
    <r>
      <rPr>
        <sz val="11"/>
        <rFont val="Calibri Light"/>
        <family val="2"/>
      </rPr>
      <t xml:space="preserve">                                                                                        DML - 8,70ml (-) 1P2, 1J6                                                                                   Triagem - 16,90ml (-) 2P2, 2J4                                                                        Desp. Alimentos - 12,90ml (-) 1P2, 1J4                                                        Desp. Utensil. - 12,90ml (-) 1P2, 1J4                                                             Wc Fem/Masc. - 8,00ml x 2un  (-) 2J6, 2P7                                                 Cozinha - 30,38ml (-) 6P2, 2J6, 2J4, 2J7    
Circulação/A. Serviço - 16,40ml (-) 4P2, 1J4, 2J6, 2P7                                                                                                                                                                 </t>
    </r>
    <r>
      <rPr>
        <sz val="11"/>
        <color rgb="FFFF0000"/>
        <rFont val="Calibri Light"/>
        <family val="2"/>
      </rPr>
      <t xml:space="preserve">H=1,50ml   </t>
    </r>
    <r>
      <rPr>
        <sz val="11"/>
        <rFont val="Calibri Light"/>
        <family val="2"/>
      </rPr>
      <t xml:space="preserve">                                                                                                              Mureta div. Cozinha - 5,15m
11un de Pilar (0,30x0,15) =  14,85m²
H=1,20ml                                                                                                       Parede externa da cozinha de frente para o Refeitório - 14,50ml (-) 1P2, 2J7</t>
    </r>
  </si>
  <si>
    <t>29.0</t>
  </si>
  <si>
    <t>29.1</t>
  </si>
  <si>
    <t>29.2</t>
  </si>
  <si>
    <t>29.3</t>
  </si>
  <si>
    <t>29.4</t>
  </si>
  <si>
    <t>29.5</t>
  </si>
  <si>
    <t>31.2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</si>
  <si>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</si>
  <si>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</si>
  <si>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</si>
  <si>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</si>
  <si>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</si>
  <si>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</si>
  <si>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</si>
  <si>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</si>
  <si>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</si>
  <si>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</si>
  <si>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</si>
  <si>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</si>
  <si>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</si>
  <si>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</si>
  <si>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</si>
  <si>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</si>
  <si>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36.7</t>
  </si>
  <si>
    <t>38.5</t>
  </si>
  <si>
    <t>38.6</t>
  </si>
  <si>
    <t>41.4</t>
  </si>
  <si>
    <t>41.5</t>
  </si>
  <si>
    <t>41.6</t>
  </si>
  <si>
    <t>42.7</t>
  </si>
  <si>
    <t>42.8</t>
  </si>
  <si>
    <t>42.9</t>
  </si>
  <si>
    <t>42.10</t>
  </si>
  <si>
    <t>42.11</t>
  </si>
  <si>
    <t>42.12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</si>
  <si>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</si>
  <si>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</si>
  <si>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</si>
  <si>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</si>
  <si>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</si>
  <si>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</si>
  <si>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</si>
  <si>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</si>
  <si>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</si>
  <si>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47.8</t>
  </si>
  <si>
    <t>47.9</t>
  </si>
  <si>
    <t>47.10</t>
  </si>
  <si>
    <t>47.11</t>
  </si>
  <si>
    <t>47.12</t>
  </si>
  <si>
    <t>47.13</t>
  </si>
  <si>
    <t>47.14</t>
  </si>
  <si>
    <t>47.15</t>
  </si>
  <si>
    <t>50.2</t>
  </si>
  <si>
    <t>50.3</t>
  </si>
  <si>
    <t>50.4</t>
  </si>
  <si>
    <t>50.5</t>
  </si>
  <si>
    <t>50.7</t>
  </si>
  <si>
    <t>50.8</t>
  </si>
  <si>
    <t>50.9</t>
  </si>
  <si>
    <t>50.11</t>
  </si>
  <si>
    <t>50.12</t>
  </si>
  <si>
    <t>50.13</t>
  </si>
  <si>
    <t>50.14</t>
  </si>
  <si>
    <t>51.16</t>
  </si>
  <si>
    <t>51.17</t>
  </si>
  <si>
    <t>51.18</t>
  </si>
  <si>
    <t>51.19</t>
  </si>
  <si>
    <t>51.20</t>
  </si>
  <si>
    <t>51.21</t>
  </si>
  <si>
    <t>51.22</t>
  </si>
  <si>
    <t>51.23</t>
  </si>
  <si>
    <t>51.24</t>
  </si>
  <si>
    <t>51.25</t>
  </si>
  <si>
    <t>51.26</t>
  </si>
  <si>
    <t>51.27</t>
  </si>
  <si>
    <t>51.28</t>
  </si>
  <si>
    <t>51.29</t>
  </si>
  <si>
    <t>51.30</t>
  </si>
  <si>
    <t>51.31</t>
  </si>
  <si>
    <t>51.32</t>
  </si>
  <si>
    <t>51.33</t>
  </si>
  <si>
    <t>51.34</t>
  </si>
  <si>
    <t>51.35</t>
  </si>
  <si>
    <t>51.36</t>
  </si>
  <si>
    <t>51.37</t>
  </si>
  <si>
    <t>51.38</t>
  </si>
  <si>
    <t>51.39</t>
  </si>
  <si>
    <t>51.40</t>
  </si>
  <si>
    <t>51.41</t>
  </si>
  <si>
    <t>51.42</t>
  </si>
  <si>
    <t>51.43</t>
  </si>
  <si>
    <t>51.44</t>
  </si>
  <si>
    <t>51.45</t>
  </si>
  <si>
    <t>51.46</t>
  </si>
  <si>
    <t>51.47</t>
  </si>
  <si>
    <t>51.48</t>
  </si>
  <si>
    <t>51.49</t>
  </si>
  <si>
    <t>51.50</t>
  </si>
  <si>
    <t>51.51</t>
  </si>
  <si>
    <t>51.52</t>
  </si>
  <si>
    <t>53.4</t>
  </si>
  <si>
    <t>53.5</t>
  </si>
  <si>
    <t>53.6</t>
  </si>
  <si>
    <t>53.7</t>
  </si>
  <si>
    <t>53.8</t>
  </si>
  <si>
    <t>57.3</t>
  </si>
  <si>
    <t>57.4</t>
  </si>
  <si>
    <t>57.5</t>
  </si>
  <si>
    <t>57.6</t>
  </si>
  <si>
    <t>59.7</t>
  </si>
  <si>
    <t>59.8</t>
  </si>
  <si>
    <t>59.9</t>
  </si>
  <si>
    <t>59.10</t>
  </si>
  <si>
    <t>60.11</t>
  </si>
  <si>
    <t>60.12</t>
  </si>
  <si>
    <t>60.13</t>
  </si>
  <si>
    <t>60.14</t>
  </si>
  <si>
    <t>60.15</t>
  </si>
  <si>
    <t>60.16</t>
  </si>
  <si>
    <t>60.17</t>
  </si>
  <si>
    <t>60.18</t>
  </si>
  <si>
    <t>60.19</t>
  </si>
  <si>
    <t>60.20</t>
  </si>
  <si>
    <t>60.21</t>
  </si>
  <si>
    <t>60.22</t>
  </si>
  <si>
    <t>60.23</t>
  </si>
  <si>
    <t>60.24</t>
  </si>
  <si>
    <t>60.25</t>
  </si>
  <si>
    <t>60.26</t>
  </si>
  <si>
    <t>60.27</t>
  </si>
  <si>
    <t>60.28</t>
  </si>
  <si>
    <t>63.5</t>
  </si>
  <si>
    <t>63.6</t>
  </si>
  <si>
    <t>63.7</t>
  </si>
  <si>
    <t>63.8</t>
  </si>
  <si>
    <t>63.9</t>
  </si>
  <si>
    <t>63.10</t>
  </si>
  <si>
    <t>63.11</t>
  </si>
  <si>
    <t>63.12</t>
  </si>
  <si>
    <t>63.13</t>
  </si>
  <si>
    <t>63.14</t>
  </si>
  <si>
    <t>65.16</t>
  </si>
  <si>
    <t>65.17</t>
  </si>
  <si>
    <t>65.18</t>
  </si>
  <si>
    <t>65.19</t>
  </si>
  <si>
    <t>65.20</t>
  </si>
  <si>
    <t>65.21</t>
  </si>
  <si>
    <t>65.22</t>
  </si>
  <si>
    <t>65.23</t>
  </si>
  <si>
    <t>65.24</t>
  </si>
  <si>
    <t>65.25</t>
  </si>
  <si>
    <t>65.26</t>
  </si>
  <si>
    <t>65.27</t>
  </si>
  <si>
    <t>65.28</t>
  </si>
  <si>
    <t>65.29</t>
  </si>
  <si>
    <t>65.30</t>
  </si>
  <si>
    <t>65.31</t>
  </si>
  <si>
    <t>65.32</t>
  </si>
  <si>
    <t>65.33</t>
  </si>
  <si>
    <t>65.34</t>
  </si>
  <si>
    <t>65.35</t>
  </si>
  <si>
    <t>65.36</t>
  </si>
  <si>
    <t>65.37</t>
  </si>
  <si>
    <t>65.38</t>
  </si>
  <si>
    <t>65.39</t>
  </si>
  <si>
    <t>65.40</t>
  </si>
  <si>
    <t>65.41</t>
  </si>
  <si>
    <t>65.42</t>
  </si>
  <si>
    <t>65.43</t>
  </si>
  <si>
    <t>65.44</t>
  </si>
  <si>
    <t>65.45</t>
  </si>
  <si>
    <t>65.46</t>
  </si>
  <si>
    <t>65.47</t>
  </si>
  <si>
    <t>65.48</t>
  </si>
  <si>
    <t>65.49</t>
  </si>
  <si>
    <t>65.50</t>
  </si>
  <si>
    <t>65.51</t>
  </si>
  <si>
    <t>65.52</t>
  </si>
  <si>
    <t>65.53</t>
  </si>
  <si>
    <t>65.54</t>
  </si>
  <si>
    <t>65.55</t>
  </si>
  <si>
    <t>65.56</t>
  </si>
  <si>
    <t>65.57</t>
  </si>
  <si>
    <t>65.58</t>
  </si>
  <si>
    <t>65.59</t>
  </si>
  <si>
    <t>69.3</t>
  </si>
  <si>
    <t>69.4</t>
  </si>
  <si>
    <t>69.5</t>
  </si>
  <si>
    <t>69.6</t>
  </si>
  <si>
    <t>69.7</t>
  </si>
  <si>
    <t>69.8</t>
  </si>
  <si>
    <t>69.9</t>
  </si>
  <si>
    <t>69.10</t>
  </si>
  <si>
    <t>69.11</t>
  </si>
  <si>
    <t>70.12</t>
  </si>
  <si>
    <t>70.13</t>
  </si>
  <si>
    <t>70.14</t>
  </si>
  <si>
    <t>70.15</t>
  </si>
  <si>
    <t>70.16</t>
  </si>
  <si>
    <t>70.17</t>
  </si>
  <si>
    <t>70.18</t>
  </si>
  <si>
    <t>70.19</t>
  </si>
  <si>
    <t>70.20</t>
  </si>
  <si>
    <t>70.21</t>
  </si>
  <si>
    <t>70.22</t>
  </si>
  <si>
    <t>70.23</t>
  </si>
  <si>
    <t>70.24</t>
  </si>
  <si>
    <t>70.25</t>
  </si>
  <si>
    <t>70.26</t>
  </si>
  <si>
    <t>70.27</t>
  </si>
  <si>
    <t>70.28</t>
  </si>
  <si>
    <t>70.29</t>
  </si>
  <si>
    <t>70.30</t>
  </si>
  <si>
    <t>70.31</t>
  </si>
  <si>
    <t>Detalhe Fachada Frontal e Lateral Direita - Faixa de 1,40ml de largura x 13,30ml    (-) Cobogó
*COR PANTONE 308U - 15,58m²
*COR PANTONE 2758C - 17,78m²
*COR  PANTONE 3125U - 15,58m²
FAIXA LATERAL (ACESSO):
*COR PANTONE 308U - 11,10m² + Pilares de acesso 7unx 1,70x1,50+ Pilar de acesso 1un x 1,20*1,50
*COR PANTONE 2758C - 14,34m²
*COR  PANTONE 3125U - 11,10m²</t>
  </si>
  <si>
    <t>SDC02071</t>
  </si>
  <si>
    <t>BANCO ARTICULADO EM AÇO INOX PARA BANHEIROS PCD, DIM. 700X400MM</t>
  </si>
  <si>
    <t>SETOP ACE-BAN-015</t>
  </si>
  <si>
    <t>GILMAR</t>
  </si>
  <si>
    <t>3682-4971</t>
  </si>
  <si>
    <t>05.273304/0001-46</t>
  </si>
  <si>
    <t>CNN INOX</t>
  </si>
  <si>
    <t>Banco articulado para banheiro PCD</t>
  </si>
  <si>
    <t>74093/001</t>
  </si>
  <si>
    <t>VALVULA PE COM CRIVO BRONZE 1.1/4" - FORNECIMENTO E INSTALACAO</t>
  </si>
  <si>
    <t>MISTURADOR MONOCOMANDO PARA CHUVEIRO, BASE BRUTA E ACABAMENTO CROMADO, FORNECIDO E INSTALADO EM RAMAL DE ÁGUA. AF_12/2014</t>
  </si>
  <si>
    <t>SDC03120</t>
  </si>
  <si>
    <t>ORSE 9477</t>
  </si>
  <si>
    <t>BARRAMENTO DE COBRE 100A</t>
  </si>
  <si>
    <t>SDC03121</t>
  </si>
  <si>
    <t>BARRAMENTO DE COBRE 250A</t>
  </si>
  <si>
    <t>SUPORTE GUIA SIMPLES COM ROLDANA EM POLIPROPILENO PARA CHUMBAR, H = 20 CM</t>
  </si>
  <si>
    <t>SDC07040</t>
  </si>
  <si>
    <t>ORSE 9045</t>
  </si>
  <si>
    <t>DUTO CORRUGADO FLEXÍVEL 1.1/2"</t>
  </si>
  <si>
    <t>SDC07041</t>
  </si>
  <si>
    <t>DUTO CORRUGADO FLEXÍVEL 1"</t>
  </si>
  <si>
    <t>SDC02094</t>
  </si>
  <si>
    <t>FORNECIMENTO E INSTALAÇÃO DE BOMBA TRIFÁSICA 5CV - 220/380</t>
  </si>
  <si>
    <t>SINAPI 83645</t>
  </si>
  <si>
    <t>MONTADOR ELETROMECÃNICO COM ENCARGOS COMPLEMENTARES</t>
  </si>
  <si>
    <t>BOMBA TRIFÁSICA 5CV - 220/380v</t>
  </si>
  <si>
    <t>SAMIRO</t>
  </si>
  <si>
    <t>AGROFERRAGENS LUIZÃO</t>
  </si>
  <si>
    <t>24.774.390/0001-15</t>
  </si>
  <si>
    <t>JOSÉ</t>
  </si>
  <si>
    <t>CASA DAS BOMBAS</t>
  </si>
  <si>
    <t>30.089.924/0001-77</t>
  </si>
  <si>
    <t>RENAN</t>
  </si>
  <si>
    <t>01.184.625/0002-02</t>
  </si>
  <si>
    <t>Placa tatil em acrilico fundo branco letra preto</t>
  </si>
  <si>
    <t xml:space="preserve">Placa tatil em acrilico com letras alto relevo em braille, fundo branco e letra preto </t>
  </si>
  <si>
    <t xml:space="preserve">Placa tátil em acrilico fundo branco letra preto </t>
  </si>
  <si>
    <t xml:space="preserve">Placa em acrilico com letra vinil, fundo branco e letra preto </t>
  </si>
  <si>
    <t>SDC04044</t>
  </si>
  <si>
    <t>FORNECIMENTO E INSTALAÇÃO DE BIBICLETARIO METALICO, CONFORME PROJERO PADRÃO SEDUC</t>
  </si>
  <si>
    <t>BICICLETARIO PARA 12 BICICLETAS, EM AÇO, INCLUSIVE PINTURA ANTICORROSIVA E SINTETICA</t>
  </si>
  <si>
    <t>SERRALHERIA E METALURGICA JESUS</t>
  </si>
  <si>
    <t>20.628.070/0001-42</t>
  </si>
  <si>
    <t>VALDECI</t>
  </si>
  <si>
    <t>CENTRO AÇO</t>
  </si>
  <si>
    <t>METALURGICA BRASFFER</t>
  </si>
  <si>
    <t>17.995.677/0001-00</t>
  </si>
  <si>
    <t>SDC01076</t>
  </si>
  <si>
    <t>ORSE 10073</t>
  </si>
  <si>
    <t>FORMA TABUA P/ CONCRETO EM FUNDACAO C/ REAPROVEITAMENTO 10 X.</t>
  </si>
  <si>
    <t>LASTRO DE CONCRETO, PREPARO MECÂNICO, INCLUSOS ADITIVO IMPERMEABILIZANTE, LANÇAMENTO E ADENSAMENTO</t>
  </si>
  <si>
    <t>ALVENARIA DE VEDAÇÃO DE BLOCOS CERÂMICOS FURADOS NA HORIZONTAL DE 9X14X19CM (ESPESSURA 9CM) DE PAREDES COM ÁREA LÍQUIDA MENOR QUE 6M² COM VÃOS E ARGAMASSA DE ASSENTAMENTO COM PREPARO EM BETONEIRA. AF_06/2014</t>
  </si>
  <si>
    <t>GRADE DE FERRO EM BARRA CHATA 3/16"</t>
  </si>
  <si>
    <t>1130429886</t>
  </si>
  <si>
    <t>TOTAL ACESSIBILIDADE</t>
  </si>
  <si>
    <t>12.127.024/0001-95</t>
  </si>
  <si>
    <t>SDC04060</t>
  </si>
  <si>
    <t>MAPA TATIL 85X45 COM PÉ EM TUBO METÁLICO</t>
  </si>
  <si>
    <t>ORSE 10563</t>
  </si>
  <si>
    <t>ALINE</t>
  </si>
  <si>
    <t>67 4042-1953</t>
  </si>
  <si>
    <t>15.4</t>
  </si>
  <si>
    <t>INSTALAÇÕES ELÉTRICAS, LÓGICA E SPDA</t>
  </si>
  <si>
    <t>Rede Lógica e Telefônica</t>
  </si>
  <si>
    <t>Ivan Montezano Junior</t>
  </si>
  <si>
    <t>Lógica e Telefonia</t>
  </si>
  <si>
    <t>Eletroduto PVC flexível 3/4"</t>
  </si>
  <si>
    <t>Eletroduto PVC rígido 3/4"</t>
  </si>
  <si>
    <t>Eletroduto PVC rígido 1"</t>
  </si>
  <si>
    <t>Eletroduto PEAD 1"</t>
  </si>
  <si>
    <t>Condulete metálico para eletroduto 3/4" com tampa e adaptador para RJ45</t>
  </si>
  <si>
    <t>Caixa metálica 4x2"</t>
  </si>
  <si>
    <t>Quadro padrão telebrás para telefonia</t>
  </si>
  <si>
    <t>ELETRODUTO FLEXÍVEL CORRUGADO, PVC, DN 25 MM (3/4"), PARA CIRCUITOS TERMINAIS, INSTALADO EM LAJE - FORNECIMENTO E INSTALAÇÃO. AF_12/2015</t>
  </si>
  <si>
    <t>65.60</t>
  </si>
  <si>
    <t>65.61</t>
  </si>
  <si>
    <t>65.62</t>
  </si>
  <si>
    <t>65.63</t>
  </si>
  <si>
    <t>65.64</t>
  </si>
  <si>
    <t>2.13</t>
  </si>
  <si>
    <t xml:space="preserve">Triagem: 14,87m²  
WC funcionarios fem: 3,75m² 
WC funcionario masc: 3,75m² 
Cozinha: 48,90m² 
Circulação: 26,06m²       
DML: 3,87m²
Desp. Alimentos: 9,54m²
Desp. Utensilios: 9,54m²                                                                                                                                                                                                                                </t>
  </si>
  <si>
    <t>Mão francesa para as bancadas dos Depósitos:
Desp. Alimentos: 5 um x 3 prateleiras 
Desp. Utensilios: 3un x 3 prateleiras</t>
  </si>
  <si>
    <t>29.6</t>
  </si>
  <si>
    <t>0,55 X 0,45 = 0,247M² x 6 UNIDADES</t>
  </si>
  <si>
    <t>Logo ACM</t>
  </si>
  <si>
    <t>Letra caixa h=0,70cm
Escrita em 2 fachadas: ESCOLA ESTADUAL MARIO DE CASTRO</t>
  </si>
  <si>
    <t xml:space="preserve">gradil com mureta h = 40cm </t>
  </si>
  <si>
    <t>portão do gradil</t>
  </si>
  <si>
    <t>LOCACAO DE ANDAIME METALICO TUBULAR TIPO TORRE</t>
  </si>
  <si>
    <t>52.4</t>
  </si>
  <si>
    <t>52.5</t>
  </si>
  <si>
    <t>*Parede em frente ao vestiario: 60,50m²
*Fachada Frontal: 60,50m²
*Parede lateral (arquibancada): 105,60m²
*Parede lateral acesso: 6,00ml x 2,20ml x 08un</t>
  </si>
  <si>
    <r>
      <rPr>
        <sz val="11"/>
        <color rgb="FFFF0000"/>
        <rFont val="Calibri Light"/>
        <family val="2"/>
      </rPr>
      <t>Vestiário:</t>
    </r>
    <r>
      <rPr>
        <sz val="11"/>
        <rFont val="Calibri Light"/>
        <family val="2"/>
      </rPr>
      <t xml:space="preserve">
Parede  Laterais+ Fundo: 22,95ml x 3,35 altura (-) 2J2
</t>
    </r>
    <r>
      <rPr>
        <sz val="11"/>
        <color rgb="FFFF0000"/>
        <rFont val="Calibri Light"/>
        <family val="2"/>
      </rPr>
      <t>Quadra:</t>
    </r>
    <r>
      <rPr>
        <sz val="11"/>
        <rFont val="Calibri Light"/>
        <family val="2"/>
      </rPr>
      <t xml:space="preserve">
</t>
    </r>
    <r>
      <rPr>
        <sz val="11"/>
        <color rgb="FFFF0000"/>
        <rFont val="Calibri Light"/>
        <family val="2"/>
      </rPr>
      <t>Fechamento 4 lados com desconto de brises e cobogó x 1 lado (externo)</t>
    </r>
    <r>
      <rPr>
        <sz val="11"/>
        <rFont val="Calibri Light"/>
        <family val="2"/>
      </rPr>
      <t xml:space="preserve">
*Parede em frente ao vestiário - 30,00ml x 13,30ml (-) Cobogó 60,50m² + 18,42m²x2un (-) parede vestiario 69,83m²
*Parede Lateral Esq. (arquibancada) - 50,25ml x 13,30ml (-) Cobogó 105,60m²
* Fachada - 399,00m² (-) Cobogó 60,50m²
*Parede Lateral Direita (Acesso) - 503,00m² (-) Cobogó 105,60m² 
*Pilares de acesso 9unx 1,70x1,70</t>
    </r>
  </si>
  <si>
    <r>
      <rPr>
        <sz val="11"/>
        <color rgb="FFFF0000"/>
        <rFont val="Calibri Light"/>
        <family val="2"/>
      </rPr>
      <t>Quadra: H=13,30ml</t>
    </r>
    <r>
      <rPr>
        <sz val="11"/>
        <rFont val="Calibri Light"/>
        <family val="2"/>
      </rPr>
      <t xml:space="preserve">
</t>
    </r>
    <r>
      <rPr>
        <sz val="11"/>
        <color rgb="FFFF0000"/>
        <rFont val="Calibri Light"/>
        <family val="2"/>
      </rPr>
      <t xml:space="preserve">Fechamento 4 lados com desconto de brises e cobogó </t>
    </r>
    <r>
      <rPr>
        <sz val="11"/>
        <rFont val="Calibri Light"/>
        <family val="2"/>
      </rPr>
      <t xml:space="preserve">
*Parede em frente ao vestiário - 30,00ml x 13,30ml (- )abertura de acesso 3,00x2,50 e Cobogó 60,50m²
*Parede Lateral Esq. (arquibancada) - 50,25ml x 13,30ml (-) Cobogó 105,60 e arquibancada 56,70m² 
* Fachada - 399,00m² (-) Cobogó 60,50m²
*Parede Lateral Direita (Acesso) - 503,00m² (-) Cobogó 105,60m²
</t>
    </r>
    <r>
      <rPr>
        <sz val="11"/>
        <color rgb="FFFF0000"/>
        <rFont val="Calibri Light"/>
        <family val="2"/>
      </rPr>
      <t>Laje:</t>
    </r>
    <r>
      <rPr>
        <sz val="11"/>
        <rFont val="Calibri Light"/>
        <family val="2"/>
      </rPr>
      <t xml:space="preserve">
Vestiarios F/M: 17,86m² x 2
Vestiarios M/F PCD: 5,49m² x 2
Circulação: 6,56m²</t>
    </r>
  </si>
  <si>
    <t>excluir</t>
  </si>
  <si>
    <t>CHAVE DE BOIA AUTOMÁTICA SUPERIOR 10A/250V - FORNECIMENTO E INSTALACAO</t>
  </si>
  <si>
    <t>TORNEIRA DE BÓIA REAL, ROSCÁVEL, 3/4", FORNECIDA E INSTALADA EM RESERVAÇÃO DE ÁGUA. AF_06/2016</t>
  </si>
  <si>
    <t>CHAVE DE BOIA AUTOMÁTICA SUPERIOR 10A/250V</t>
  </si>
  <si>
    <t>TORNEIRA DE BÓIA REAL, ROSCÁVEL, 3/4"</t>
  </si>
  <si>
    <t>FORNECIMENTO E PLANTIO DE PIRIQUITÃO</t>
  </si>
  <si>
    <t>ORSE 3322</t>
  </si>
  <si>
    <t>PERIQUITÃO</t>
  </si>
  <si>
    <t>3627-2410</t>
  </si>
  <si>
    <t>11.057.057/0001-43</t>
  </si>
  <si>
    <t>15.844.241/0001-94</t>
  </si>
  <si>
    <t>3624-1432</t>
  </si>
  <si>
    <t>Florais Paisagismo</t>
  </si>
  <si>
    <t>19.489.049/0001-88</t>
  </si>
  <si>
    <t>FORNECIMENTO E PLANTIO DE PRIMAVERA 1,00M DE ALTURA EM CAVA DE 60X60X60CM</t>
  </si>
  <si>
    <t>SINAPI 85178</t>
  </si>
  <si>
    <t>TERRA VEGETAL (GRANEL)</t>
  </si>
  <si>
    <t>FERTILIZANTE NPK - 10:10:10</t>
  </si>
  <si>
    <t>CALCARIO DOLOMITICO A (POSTO PEDREIRA/FORNECEDOR, SEM FRETE)</t>
  </si>
  <si>
    <t>JARDINEIRO COM ENCARGOS COMPLEMENTARES</t>
  </si>
  <si>
    <t>PRIMAVERA 1M DE ALTURA</t>
  </si>
  <si>
    <t>COMPOSIÇÃO DA PARCELA DE BDI (BONIFICAÇÕES E DESPESA INDIRETAS)</t>
  </si>
  <si>
    <t>ITENS RELATIVOS À ADMINISTRAÇÃO CENTRAL</t>
  </si>
  <si>
    <t>% SOBRE PV</t>
  </si>
  <si>
    <t>LUCRO</t>
  </si>
  <si>
    <t>BDI SEM IMPOSTOS</t>
  </si>
  <si>
    <t>TAXAS E IMPOSTOS</t>
  </si>
  <si>
    <t>0,80% de PV</t>
  </si>
  <si>
    <t>BDI COM IMPOSTOS</t>
  </si>
  <si>
    <r>
      <rPr>
        <b/>
        <i/>
        <sz val="8"/>
        <color indexed="8"/>
        <rFont val="Calibri Light"/>
        <family val="2"/>
      </rPr>
      <t xml:space="preserve">PV </t>
    </r>
    <r>
      <rPr>
        <i/>
        <sz val="8"/>
        <color indexed="8"/>
        <rFont val="Calibri Light"/>
        <family val="2"/>
      </rPr>
      <t>= Preço de Venda</t>
    </r>
  </si>
  <si>
    <t>FORNECIMENTO DE TOTEM EM CONCRETO ARMADO DE ACORDO COM MODELO DA SEDUC, DIMENSÕES 260X110X15CM, INCLUSIVE PLACA EM AÇO INOX</t>
  </si>
  <si>
    <t>C.R SANTOS</t>
  </si>
  <si>
    <t>ENGENHARIA E CONSTRUTORA EIRELI</t>
  </si>
  <si>
    <t>BDI equip.:</t>
  </si>
  <si>
    <t>3,50% de PV</t>
  </si>
  <si>
    <t>COMPOSIÇÃO DA PARCELA DE BDI DIFERENCIADO - EQUIPAMENTOS
(BONIFICAÇÕES E DESPESA INDIRETAS)</t>
  </si>
  <si>
    <r>
      <t>Alíquota de Cuiabá</t>
    </r>
    <r>
      <rPr>
        <i/>
        <sz val="11"/>
        <color indexed="10"/>
        <rFont val="Calibri Light"/>
        <family val="2"/>
      </rPr>
      <t xml:space="preserve"> = 5,0%</t>
    </r>
  </si>
  <si>
    <t>SDC01096</t>
  </si>
  <si>
    <t>SOLEIRA DE GRANITO BRANCO ITAÚNA, LARGURA 15CM, ESPESSURA 3CM, ASSENTADA SOBRE ARGAMASSA TRACO 1:4 (CIMENTO E AREIA)</t>
  </si>
  <si>
    <t>ARGAMASSA TRAÇO 1:4 (CIMENTO E AREIA MÉDIA) PARA CONTRAPISO, PREPARO MANUAL. AF_06/2014</t>
  </si>
  <si>
    <t>LUMINÁRIA LED, 150W, PARA ILUMINAÇÃO PÚBLICA</t>
  </si>
  <si>
    <r>
      <rPr>
        <sz val="11"/>
        <color rgb="FFFF0000"/>
        <rFont val="Calibri Light"/>
        <family val="2"/>
      </rPr>
      <t>Paredes  H=1,10cm
Interno:</t>
    </r>
    <r>
      <rPr>
        <sz val="11"/>
        <rFont val="Calibri Light"/>
        <family val="2"/>
      </rPr>
      <t xml:space="preserve">
Triagem de Alimentos:  16,90ml x  1,10 (-) 1,98m² 
Área do Tanque:/ 3,35mlx1,10ml
WC funcionarios fem: 8,00ml x 1,10 (-) 0,88m²
WC funcionario masc: /  8,00ml x 1,10 (-) 0,88m²
Cozinha: 30,80ml x 1,10 (-) 5,94m²
</t>
    </r>
    <r>
      <rPr>
        <sz val="11"/>
        <color rgb="FFFF0000"/>
        <rFont val="Calibri Light"/>
        <family val="2"/>
      </rPr>
      <t xml:space="preserve">Externo:
Áreas acima externa:
</t>
    </r>
    <r>
      <rPr>
        <sz val="11"/>
        <rFont val="Calibri Light"/>
        <family val="2"/>
      </rPr>
      <t>55,30ml x 1,10ml (-) 4P2,2P7 = 60,83m² (-) 5,72m² = 55,11m²</t>
    </r>
  </si>
  <si>
    <r>
      <t>*Área da Alvenaria x 2</t>
    </r>
    <r>
      <rPr>
        <b/>
        <sz val="11"/>
        <rFont val="Calibri Light"/>
        <family val="2"/>
      </rPr>
      <t xml:space="preserve"> </t>
    </r>
    <r>
      <rPr>
        <sz val="11"/>
        <rFont val="Calibri Light"/>
        <family val="2"/>
      </rPr>
      <t>lados (-) Chapisco interno Cozinha acima da laje 21,90m² x 2 lados</t>
    </r>
    <r>
      <rPr>
        <b/>
        <sz val="11"/>
        <rFont val="Calibri Light"/>
        <family val="2"/>
      </rPr>
      <t xml:space="preserve">
</t>
    </r>
    <r>
      <rPr>
        <sz val="11"/>
        <rFont val="Calibri Light"/>
        <family val="2"/>
      </rPr>
      <t>*Pilares do Refeitorio (15x30): 11un x 3,90ml pé direito</t>
    </r>
  </si>
  <si>
    <r>
      <rPr>
        <sz val="11"/>
        <color rgb="FFFF0000"/>
        <rFont val="Calibri Light"/>
        <family val="2"/>
      </rPr>
      <t>Laje</t>
    </r>
    <r>
      <rPr>
        <sz val="11"/>
        <rFont val="Calibri Light"/>
        <family val="2"/>
      </rPr>
      <t xml:space="preserve">
Triagem: 14,87m²  
WC funcionarios fem: 3,75m² 
WC funcionario masc: 3,75m² 
Cozinha: 48,90m² 
Circulação: 26,06m²       
DML: 3,87m²
Desp. Alimentos: 9,54m²
Desp. Utensilios: 9,54m²                                                                              </t>
    </r>
  </si>
  <si>
    <t xml:space="preserve">Triagem: 14,87m²  
WC funcionarios fem: 3,75m² 
WC funcionario masc: 3,75m² 
Cozinha: 48,90m² 
Circulação: 26,06m²       
DML: 3,87m²
Desp. Alimentos: 9,54m²
Desp. Utensilios: 9,54m²  </t>
  </si>
  <si>
    <t>73769/003</t>
  </si>
  <si>
    <t>POSTE DE ACO CONICO CONTINUO CURVO DUPLO, FLANGEADO, COM JANELA DE INSPECAO H=9M</t>
  </si>
  <si>
    <t>65.65</t>
  </si>
  <si>
    <r>
      <rPr>
        <sz val="11"/>
        <color rgb="FFFF0000"/>
        <rFont val="Calibri Light"/>
        <family val="2"/>
      </rPr>
      <t>Paredes  H=1,10cm
Interno:</t>
    </r>
    <r>
      <rPr>
        <sz val="11"/>
        <rFont val="Calibri Light"/>
        <family val="2"/>
      </rPr>
      <t xml:space="preserve">
Vestiário Fem: 17,00ml x 1,10ml altura (-) 1P2 = 17,71m²
Vestiário Fem PCD: 9,60 x 1,10ml (-) 1P4 = 9,57m²
Vestiário Masc: 17,00ml x 1,10ml altura (-) 1P2 = 17,71m²
Vestiário Masc PCD: 9,60 x 1,10ml (-) 1P4 = 9,57m²
</t>
    </r>
    <r>
      <rPr>
        <sz val="11"/>
        <color rgb="FFFF0000"/>
        <rFont val="Calibri Light"/>
        <family val="2"/>
      </rPr>
      <t>Externo:</t>
    </r>
    <r>
      <rPr>
        <sz val="11"/>
        <rFont val="Calibri Light"/>
        <family val="2"/>
      </rPr>
      <t xml:space="preserve">
Perede contorno áreas acima e quadra = 217,84 x 1,10 = 239,62m²</t>
    </r>
  </si>
  <si>
    <r>
      <rPr>
        <sz val="11"/>
        <color rgb="FFFF0000"/>
        <rFont val="Calibri Light"/>
        <family val="2"/>
      </rPr>
      <t>Vestiário:</t>
    </r>
    <r>
      <rPr>
        <sz val="11"/>
        <rFont val="Calibri Light"/>
        <family val="2"/>
      </rPr>
      <t xml:space="preserve">
37,65ml x 3,35 altura (-)2P2, 2P4, 2J2, 2J9
</t>
    </r>
    <r>
      <rPr>
        <sz val="11"/>
        <color rgb="FFFF0000"/>
        <rFont val="Calibri Light"/>
        <family val="2"/>
      </rPr>
      <t xml:space="preserve">Quadra: H=13,30ml
</t>
    </r>
    <r>
      <rPr>
        <sz val="11"/>
        <rFont val="Calibri Light"/>
        <family val="2"/>
      </rPr>
      <t>*Parede em frente ao vestiário - 30,00ml x 13,30ml (-)abertura de acesso 3,00x2,50, Cobogó 5unx5,55compx2,20alturax2lados= 399m²(-) 7,5m²+60,50m²
*Parede Lateral Esq. (arquibancada) - 50,25ml x 13,30ml (-) Cobogó 105,60m²
* Fachada - 399,00m² (-) Cobogó 60,50m²
*Parede Lateral Direita (Acesso) - 503,00m² (-) Cobogó 105,60m²</t>
    </r>
  </si>
  <si>
    <t>FORNECIMENTO E INSTALAÇÃO DE PORTA METÁLICA, 80X2,10M, CHAPA LISA Nº18, INCLUSIVE FECHADURA TIPO TRINCO ROLETE E GUARNIÇÕES - CONFORME ESPECIFICAÇÃO TÉCNICA SEDUC</t>
  </si>
  <si>
    <t>MILCA</t>
  </si>
  <si>
    <t>3317-5000</t>
  </si>
  <si>
    <t>MOINHO</t>
  </si>
  <si>
    <t>DRENO DOS CONDICIONADORES DE AR E DRENAGEM PLUVIAL</t>
  </si>
  <si>
    <t>SDC02079</t>
  </si>
  <si>
    <t>SINAPI 86943</t>
  </si>
  <si>
    <t>LAVATÓRIO LOUÇA BRANCA SUSPENSO, 29,5 X 39CM OU EQUIVALENTE, PADRÃO POPULAR - FORNECIMENTO E INSTALAÇÃO. AF_12/2013</t>
  </si>
  <si>
    <t>TUBO, PVC, SOLDÁVEL, DN 32MM, INSTALADO EM RAMAL DE DISTRIBUIÇÃO DE ÁGUA - FORNECIMENTO E INSTALAÇÃO. AF_12/2014</t>
  </si>
  <si>
    <t>M3XKM</t>
  </si>
  <si>
    <t>M/MES</t>
  </si>
  <si>
    <t>SDC06007</t>
  </si>
  <si>
    <t>ADMINISTRAÇÃO LOCAL DE OBRA - EE MÁRIO DE CASTRO</t>
  </si>
  <si>
    <t>93208</t>
  </si>
  <si>
    <t>93210</t>
  </si>
  <si>
    <t>72897</t>
  </si>
  <si>
    <t>95302</t>
  </si>
  <si>
    <t>95135</t>
  </si>
  <si>
    <t>41598</t>
  </si>
  <si>
    <t>72915</t>
  </si>
  <si>
    <t>93358</t>
  </si>
  <si>
    <t>94097</t>
  </si>
  <si>
    <t>95241</t>
  </si>
  <si>
    <t>5970</t>
  </si>
  <si>
    <t>92874</t>
  </si>
  <si>
    <t>92410</t>
  </si>
  <si>
    <t>92718</t>
  </si>
  <si>
    <t>CONCRETAGEM DE PILARES, FCK = 25 MPA,  COM USO DE BALDES EM EDIFICAÇÃO COM SEÇÃO MÉDIA DE PILARES MENOR OU IGUAL A 0,25 M² - LANÇAMENTO, ADENSAMENTO E ACABAMENTO. AF_12/2015</t>
  </si>
  <si>
    <t>92775</t>
  </si>
  <si>
    <t>92777</t>
  </si>
  <si>
    <t>92778</t>
  </si>
  <si>
    <t>92779</t>
  </si>
  <si>
    <t>92780</t>
  </si>
  <si>
    <t>92447</t>
  </si>
  <si>
    <t>92873</t>
  </si>
  <si>
    <t>92776</t>
  </si>
  <si>
    <t>68053</t>
  </si>
  <si>
    <t>85662</t>
  </si>
  <si>
    <t>94216</t>
  </si>
  <si>
    <t>94228</t>
  </si>
  <si>
    <t>94231</t>
  </si>
  <si>
    <t>91341</t>
  </si>
  <si>
    <t>FORNECIMENTO E INSTALAÇÃO DE PORTA METÁLICA, 90X2,10M, CHAPA LISA Nº18, INCLUSIVE FECHADURA TIPO TRINCO ROLETE E GUARNIÇÕES - CONFORME ESPECIFICAÇÃO TÉCNICA SED</t>
  </si>
  <si>
    <t>94581</t>
  </si>
  <si>
    <t>89168</t>
  </si>
  <si>
    <t>93186</t>
  </si>
  <si>
    <t>93187</t>
  </si>
  <si>
    <t>93188</t>
  </si>
  <si>
    <t>93197</t>
  </si>
  <si>
    <t>93196</t>
  </si>
  <si>
    <t>87879</t>
  </si>
  <si>
    <t>CHAPISCO APLICADO EM ALVENARIAS E ESTRUTURAS DE CONCRETO INTERNAS, COM COLHER DE PEDREIRO.  ARGAMASSA TRAÇO 1:3 COM PREPARO EM BETONEIRA 400L. AF_06/2014</t>
  </si>
  <si>
    <t>87530</t>
  </si>
  <si>
    <t>87882</t>
  </si>
  <si>
    <t>90407</t>
  </si>
  <si>
    <t>89170</t>
  </si>
  <si>
    <t>REVESTIMENTO CERÂMICO PARA PAREDES INTERNAS EM PASTILHAS DE PORCELANA 5 X 5 CM (PLACAS DE 30 X 30 CM), ALINHADAS A PRUMO, APLICADO EM PANOS COM VÃOS</t>
  </si>
  <si>
    <t>87242</t>
  </si>
  <si>
    <t>83742</t>
  </si>
  <si>
    <t>87263</t>
  </si>
  <si>
    <t>88495</t>
  </si>
  <si>
    <t>APLICAÇÃO E LIXAMENTO DE MASSA LÁTEX EM PAREDES, UMA DEMÃO. AF_06/2014</t>
  </si>
  <si>
    <t>88487</t>
  </si>
  <si>
    <t>88496</t>
  </si>
  <si>
    <t>88488</t>
  </si>
  <si>
    <t>88485</t>
  </si>
  <si>
    <t>APLICAÇÃO E LIXAMENTO DE MASSA ACRILICA EM PAREDES, UMA DEMÃO</t>
  </si>
  <si>
    <t>88489</t>
  </si>
  <si>
    <t>FORRO DE PVC RÉGUA 100MM COM ESTRUTURA DE FIXAÇÃO DE MADEIRA</t>
  </si>
  <si>
    <t>FORNECIMENTO E INSTALAÇÃO DE PISO PODOTÁTIL, EM CONCRETO, 25x25CM, DIRECIONAL/ALERTA</t>
  </si>
  <si>
    <t>85005</t>
  </si>
  <si>
    <t>FORNECIMENTO E INSTALAÇÃO DE PLACA EM ACM, PARA LOGO DO GOVERNO, 2,50X2,50M, INCLUSIVE INSTALAÇÃO</t>
  </si>
  <si>
    <t>FORNECIMENTO E INSTALAÇÃO DE LETRA CAIXA 70 CM EM CHAPA GALVANIZADA PINTADA COM TINTA AUTOMOTIVA, PARA LETREIRO COM NOME DA INSTITUIÇÃO</t>
  </si>
  <si>
    <t>94994</t>
  </si>
  <si>
    <t>90808</t>
  </si>
  <si>
    <t>SDC01050</t>
  </si>
  <si>
    <t>ARMAÇÃO DE FUNDAÇÕES E ESTRUTURAS DE CONCRETO ARMADO, EXCETO VIGAS, PILARES E LAJES (DE EDIFÍCIOS DE MÚLTIPLOS PAVIMENTOS, EDIFICAÇÃO TÉRREA OU SOBRADO), UTILIZANDO AÇO CA-50 DE 16 MM - MONTAGEM</t>
  </si>
  <si>
    <t>92782</t>
  </si>
  <si>
    <t>89978</t>
  </si>
  <si>
    <t>88497</t>
  </si>
  <si>
    <t>79460</t>
  </si>
  <si>
    <t>PINTURA EPOXI, DUAS DEMAOS</t>
  </si>
  <si>
    <t>79467</t>
  </si>
  <si>
    <t>PINTURA COM TINTA A BASE DE BORRACHA CLORADA , DE FAIXAS DE DEMARCACAO, EM QUADRA POLIESPORTIVA, 5 CM DE LARGURA.</t>
  </si>
  <si>
    <t>ML</t>
  </si>
  <si>
    <t>85180</t>
  </si>
  <si>
    <t>PLANTIO DE ARVORE, ALTURA DE 1,00M, EM CAVAS DE 80X80X80CM</t>
  </si>
  <si>
    <t>GRADE DE FERRO PADRÃO ESCOLA COM MURETA DE ALVENARIA H:0,40M E GRADIL EM BARRA CHATA COM 1,80M DE ALTURA, TOTALIZANDO  2,20M DE ALTURA</t>
  </si>
  <si>
    <t>94993</t>
  </si>
  <si>
    <t>94273</t>
  </si>
  <si>
    <t>94274</t>
  </si>
  <si>
    <t>84665</t>
  </si>
  <si>
    <t>92397</t>
  </si>
  <si>
    <t>94792</t>
  </si>
  <si>
    <t>94489</t>
  </si>
  <si>
    <t>REGISTRO DE ESFERA, PVC, SOLDÁVEL, DN  25 MM, INSTALADO EM RESERVAÇÃO DE ÁGUA DE EDIFICAÇÃO QUE POSSUA RESERVATÓRIO DE FIBRA/FIBROCIMENTO   FORNECIMENTO E INSTALAÇÃO. AF_06/2016</t>
  </si>
  <si>
    <t>VÁLVULA DE RETENÇÃO VERTICAL Ø 32MM (1.1/4") - FORNECIMENTO E INSTALAÇÃO</t>
  </si>
  <si>
    <t>89383</t>
  </si>
  <si>
    <t>94703</t>
  </si>
  <si>
    <t>89481</t>
  </si>
  <si>
    <t>89367</t>
  </si>
  <si>
    <t>89402</t>
  </si>
  <si>
    <t>89403</t>
  </si>
  <si>
    <t>90374</t>
  </si>
  <si>
    <t>94499</t>
  </si>
  <si>
    <t>94500</t>
  </si>
  <si>
    <t>94498</t>
  </si>
  <si>
    <t>89987</t>
  </si>
  <si>
    <t>94497</t>
  </si>
  <si>
    <t>89427</t>
  </si>
  <si>
    <t>LUVA COM BUCHA DE LATÃO, PVC, SOLDÁVEL, DN 25MM X 3/4, INSTALADO EM RAMAL DE DISTRIBUIÇÃO DE ÁGUA - FORNECIMENTO E INSTALAÇÃO. AF_12/2014</t>
  </si>
  <si>
    <t>89420</t>
  </si>
  <si>
    <t>94790</t>
  </si>
  <si>
    <t>ADAPTADOR COM FLANGES LIVRES, PVC, SOLDÁVEL LONGO, DN 85 MM X 3 , INSTALADO EM RESERVAÇÃO DE ÁGUA DE EDIFICAÇÃO QUE POSSUA RESERVATÓRIO DE FIBRA/FIBROCIMENTO   FORNECIMENTO E INSTALAÇÃO. AF_06/2016</t>
  </si>
  <si>
    <t>89376</t>
  </si>
  <si>
    <t>89596</t>
  </si>
  <si>
    <t>89610</t>
  </si>
  <si>
    <t>89613</t>
  </si>
  <si>
    <t>89616</t>
  </si>
  <si>
    <t>SDC02002</t>
  </si>
  <si>
    <t>BUCHA DE REDUCAO DE PVC, SOLDAVEL, LONGA, COM 50X25 MM</t>
  </si>
  <si>
    <t>SDC02003</t>
  </si>
  <si>
    <t>BUCHA DE REDUCAO DE PVC, SOLDAVEL, LONGA, COM 60X25 MM</t>
  </si>
  <si>
    <t>BUCHA DE REDUCAO DE PVC, SOLDAVEL, LONGA, COM 85 X 60 MM</t>
  </si>
  <si>
    <t>89501</t>
  </si>
  <si>
    <t>89505</t>
  </si>
  <si>
    <t>89513</t>
  </si>
  <si>
    <t>89521</t>
  </si>
  <si>
    <t>89401</t>
  </si>
  <si>
    <t>TUBO, PVC, SOLDÁVEL, DN 20MM, INSTALADO EM RAMAL DE DISTRIBUIÇÃO DE ÁGUA - FORNECIMENTO E INSTALAÇÃO. AF_12/2014</t>
  </si>
  <si>
    <t>89449</t>
  </si>
  <si>
    <t>89450</t>
  </si>
  <si>
    <t>89451</t>
  </si>
  <si>
    <t>89452</t>
  </si>
  <si>
    <t>89395</t>
  </si>
  <si>
    <t>89625</t>
  </si>
  <si>
    <t>89628</t>
  </si>
  <si>
    <t>89629</t>
  </si>
  <si>
    <t>89631</t>
  </si>
  <si>
    <t>89630</t>
  </si>
  <si>
    <t>89632</t>
  </si>
  <si>
    <t>TE DE REDUÇÃO, PVC, SOLDÁVEL, DN 85MM X 60MM, INSTALADO EM PRUMADA DE ÁGUA - FORNECIMENTO E INSTALAÇÃO. AF_12/2014</t>
  </si>
  <si>
    <t>94672</t>
  </si>
  <si>
    <t>JOELHO 90 GRAUS COM BUCHA DE LATÃO, PVC, SOLDÁVEL, DN  25 MM, X 3/4 INSTALADO EM RESERVAÇÃO DE ÁGUA DE EDIFICAÇÃO QUE POSSUA RESERVATÓRIO DE FIBRA/FIBROCIMENTO   FORNECIMENTO E INSTALAÇÃO. AF_06/2016</t>
  </si>
  <si>
    <t>90373</t>
  </si>
  <si>
    <t>89441</t>
  </si>
  <si>
    <t>83486</t>
  </si>
  <si>
    <t>88547</t>
  </si>
  <si>
    <t>94796</t>
  </si>
  <si>
    <t>95469</t>
  </si>
  <si>
    <t>VASO SANITARIO SIFONADO CONVENCIONAL COM  LOUÇA BRANCA - FORNECIMENTO E INSTALAÇÃO. AF_10/2016</t>
  </si>
  <si>
    <t>40729</t>
  </si>
  <si>
    <t>MICTORIO SIFONADO DE LOUCA BRANCA COM PERTENCES, COM REGISTRO DE PRESSAO 1/2" COM CANOPLA CROMADA ACABAMENTO SIMPLES E CONJUNTO PARA FIXACAO  - FORNECIMENTO E INSTALACAO</t>
  </si>
  <si>
    <t>86901</t>
  </si>
  <si>
    <t>86906</t>
  </si>
  <si>
    <t>95544</t>
  </si>
  <si>
    <t>95547</t>
  </si>
  <si>
    <t>9535</t>
  </si>
  <si>
    <t>86942</t>
  </si>
  <si>
    <t>86931</t>
  </si>
  <si>
    <t>VASO SANITÁRIO SIFONADO COM CAIXA ACOPLADA LOUÇA BRANCA, INCLUSO ENGATE FLEXÍVEL EM PLÁSTICO BRANCO, 1/2  X 40CM - FORNECIMENTO E INSTALAÇÃO. AF_12/2013</t>
  </si>
  <si>
    <t>86935</t>
  </si>
  <si>
    <t>SDC02096</t>
  </si>
  <si>
    <t>LAVATÓRIO LOUÇA BRANCA SUSPENSO, 29,5 X 39CM OU EQUIVALENTE, PADRÃO POPULAR, INCLUSO SIFÃO FLEXÍVEL EM PVC, VÁLVULA E ENGATE FLEXÍVEL 30CM EM PLÁSTICO E TORNEIRA DE PRESSÃO CROMADA DE MESA TIPO ALAVANCA PARA PCD, PADRÃO POPULAR - FORNECIMENTO E INSTALAÇÃO</t>
  </si>
  <si>
    <t>95472</t>
  </si>
  <si>
    <t>FORNECIMENTO E INSTALAÇÃO DE DUCHA HIGIENICA PLÁSTICA COM REGISTRO METÁLICO 1/2"</t>
  </si>
  <si>
    <t>89354</t>
  </si>
  <si>
    <t>72289</t>
  </si>
  <si>
    <t>89482</t>
  </si>
  <si>
    <t>89851</t>
  </si>
  <si>
    <t>JOELHO 45 GRAUS, PVC, SERIE NORMAL, ESGOTO PREDIAL, DN 100 MM, JUNTA ELÁSTICA, FORNECIDO E INSTALADO EM SUBCOLETOR AÉREO DE ESGOTO SANITÁRIO. AF_12/2014</t>
  </si>
  <si>
    <t>89802</t>
  </si>
  <si>
    <t>89739</t>
  </si>
  <si>
    <t>89726</t>
  </si>
  <si>
    <t>89748</t>
  </si>
  <si>
    <t>89728</t>
  </si>
  <si>
    <t>89731</t>
  </si>
  <si>
    <t>89805</t>
  </si>
  <si>
    <t>89850</t>
  </si>
  <si>
    <t>89724</t>
  </si>
  <si>
    <t>89797</t>
  </si>
  <si>
    <t>89785</t>
  </si>
  <si>
    <t>REDUÇÃO EXCÊNTRICA, PVC, ESGOTO, DN 100 X 50 MM</t>
  </si>
  <si>
    <t>89549</t>
  </si>
  <si>
    <t>89714</t>
  </si>
  <si>
    <t>89712</t>
  </si>
  <si>
    <t>89713</t>
  </si>
  <si>
    <t>89849</t>
  </si>
  <si>
    <t>89711</t>
  </si>
  <si>
    <t>89803</t>
  </si>
  <si>
    <t>89798</t>
  </si>
  <si>
    <t>89825</t>
  </si>
  <si>
    <t>EXECUÇÃO DE SUMIDOURO EM ALVENARIA DE TIJOLO MACIÇO ASSENTADO EM 1 VEZ COM ESPASSAMENTO ENTRE OS TIJOLOS: DIAMETRO 3,00M PROFUNDIDADE 3,00M</t>
  </si>
  <si>
    <t>83446</t>
  </si>
  <si>
    <t>PINTURA ESMALTE FOSCO, DUAS DEMAOS, SOBRE SUPERFICIE METALICA, INCLUSO UMA DEMAO DE FUNDO ANTICORROSIVO. UTILIZACAO DE REVOLVER ( AR-COMPRIMIDO).</t>
  </si>
  <si>
    <t>92687</t>
  </si>
  <si>
    <t>TUBO DE AÇO GALVANIZADO COM COSTURA, CLASSE MÉDIA, CONEXÃO ROSQUEADA, DN 15 (1/2"), INSTALADO EM RAMAIS E SUB-RAMAIS DE GÁS - FORNECIMENTO E INSTALAÇÃO. AF_12/2015</t>
  </si>
  <si>
    <t>92688</t>
  </si>
  <si>
    <t>92699</t>
  </si>
  <si>
    <t>92701</t>
  </si>
  <si>
    <t>92704</t>
  </si>
  <si>
    <t>92705</t>
  </si>
  <si>
    <t>TÊ, EM FERRO GALVANIZADO, CONEXÃO ROSQUEADA, DN 20 (3/4"), INSTALADO EM RAMAIS E SUB-RAMAIS DE GÁS - FORNECIMENTO E INSTALAÇÃO. AF_12/2015</t>
  </si>
  <si>
    <t>92905</t>
  </si>
  <si>
    <t>91926</t>
  </si>
  <si>
    <t>91928</t>
  </si>
  <si>
    <t>91930</t>
  </si>
  <si>
    <t>93043</t>
  </si>
  <si>
    <t>92869</t>
  </si>
  <si>
    <t>95796</t>
  </si>
  <si>
    <t>CONDULETE DE ALUMÍNIO, TIPO T, PARA ELETRODUTO DE AÇO GALVANIZADO DN 25 MM (1''), APARENTE - FORNECIMENTO E INSTALAÇÃO. AF_11/2016_P</t>
  </si>
  <si>
    <t>95781</t>
  </si>
  <si>
    <t>CONDULETE DE ALUMÍNIO, TIPO C, PARA ELETRODUTO DE AÇO GALVANIZADO DN 25 MM (1''), APARENTE - FORNECIMENTO E INSTALAÇÃO. AF_11/2016_P</t>
  </si>
  <si>
    <t>95782</t>
  </si>
  <si>
    <t>CONDULETE DE ALUMÍNIO, TIPO E, ELETRODUTO DE AÇO GALVANIZADO DN 25 MM (1''), APARENTE - FORNECIMENTO E INSTALAÇÃO. AF_11/2016_P</t>
  </si>
  <si>
    <t>95789</t>
  </si>
  <si>
    <t>CONDULETE DE ALUMÍNIO, TIPO LR, PARA ELETRODUTO DE AÇO GALVANIZADO DN 25 MM (1''), APARENTE - FORNECIMENTO E INSTALAÇÃO. AF_11/2016_P</t>
  </si>
  <si>
    <t>95802</t>
  </si>
  <si>
    <t>CONDULETE DE ALUMÍNIO, TIPO X, PARA ELETRODUTO DE AÇO GALVANIZADO DN 25 MM (1''), APARENTE - FORNECIMENTO E INSTALAÇÃO. AF_11/2016_P</t>
  </si>
  <si>
    <t>91937</t>
  </si>
  <si>
    <t>92000</t>
  </si>
  <si>
    <t>91953</t>
  </si>
  <si>
    <t>91959</t>
  </si>
  <si>
    <t>91966</t>
  </si>
  <si>
    <t>QUADRO COM BARRAMENTO TRIFÁSICO PARA DISJUNTOR DE ENTRADA 400A, INCLUINDO FIXAÇÃO, PLACA DE ACRÍLICO SEM BARRAMENTOS SECUNDÁRIOS E SEM DISJUNTOR DE ENTRADA - FORNECIMENTO E INSTALAÇÃO</t>
  </si>
  <si>
    <t>93653</t>
  </si>
  <si>
    <t>93654</t>
  </si>
  <si>
    <t>DISJUNTOR MONOPOLAR TIPO DIN, CORRENTE NOMINAL DE 16A - FORNECIMENTO E INSTALAÇÃO. AF_04/2016</t>
  </si>
  <si>
    <t>93655</t>
  </si>
  <si>
    <t>93656</t>
  </si>
  <si>
    <t>93660</t>
  </si>
  <si>
    <t>93661</t>
  </si>
  <si>
    <t>DISJUNTOR BIPOLAR TIPO DIN, CORRENTE NOMINAL DE 16A - FORNECIMENTO E INSTALAÇÃO. AF_04/2016</t>
  </si>
  <si>
    <t>93662</t>
  </si>
  <si>
    <t>93663</t>
  </si>
  <si>
    <t>93664</t>
  </si>
  <si>
    <t>93671</t>
  </si>
  <si>
    <t>DISJUNTOR TRIPOLAR TIPO DIN, CORRENTE NOMINAL DE 32A - FORNECIMENTO E INSTALAÇÃO. AF_04/2016</t>
  </si>
  <si>
    <t>91836</t>
  </si>
  <si>
    <t>91868</t>
  </si>
  <si>
    <t>91844</t>
  </si>
  <si>
    <t>91871</t>
  </si>
  <si>
    <t>95779</t>
  </si>
  <si>
    <t>CONDULETE DE ALUMÍNIO, TIPO E, PARA ELETRODUTO DE AÇO GALVANIZADO DN 20 MM (3/4''), APARENTE - FORNECIMENTO E INSTALAÇÃO. AF_11/2016_P</t>
  </si>
  <si>
    <t>83370</t>
  </si>
  <si>
    <t>QUADRO DE DISTRIBUICAO PARA TELEFONE N.3, 40X40X12CM EM CHAPA METALICA, DE EMBUTIR, SEM ACESSORIOS, PADRAO TELEBRAS, FORNECIMENTO E INSTALACAO</t>
  </si>
  <si>
    <t>83450</t>
  </si>
  <si>
    <t>83449</t>
  </si>
  <si>
    <t>83447</t>
  </si>
  <si>
    <t>SDC03128</t>
  </si>
  <si>
    <t>FORNECIMENTO E INSTALAÇÃO DE CURVA 90 GRAUS DE BARRA CHATA DE ALUMÍNIO 3/4" X 1/4", COM CURVA DE 300MM</t>
  </si>
  <si>
    <t>72315</t>
  </si>
  <si>
    <t>SUPORTE GUIA SIMPLES TEL-220</t>
  </si>
  <si>
    <t>72262</t>
  </si>
  <si>
    <t>72263</t>
  </si>
  <si>
    <t>91872</t>
  </si>
  <si>
    <t>72253</t>
  </si>
  <si>
    <t>72254</t>
  </si>
  <si>
    <t>FORNECIMENTO E INSTALAÇÃO DE CAIXA DE INSPEÇÃO TIPO SOLO EM PVC COM DIAMETRO 250MM, INCLUSIVE TAMPA EM AÇO GALVANIZADO REDONDA DE 250MM.</t>
  </si>
  <si>
    <t>83485</t>
  </si>
  <si>
    <t>HASTE DE ATERRAMENTO EM AÇO COM 3,00 M DE COMPRIMENTO E DN = 5/8" REVESTIDA COM BAIXA CAMADA DE COBRE, SEM CONECTOR</t>
  </si>
  <si>
    <t>83638</t>
  </si>
  <si>
    <t>68070</t>
  </si>
  <si>
    <t>91927</t>
  </si>
  <si>
    <t>91884</t>
  </si>
  <si>
    <t>LUVA PARA ELETRODUTO, PVC, ROSCÁVEL, DN 25 MM (3/4"), PARA CIRCUITOS TERMINAIS, INSTALADA EM PAREDE - FORNECIMENTO E INSTALAÇÃO. AF_12/2015</t>
  </si>
  <si>
    <t>91914</t>
  </si>
  <si>
    <t>83635</t>
  </si>
  <si>
    <t>EXTINTOR INCENDIO AGUA-PRESSURIZADA 10L INCL SUPORTE PAREDE CARGA     COMPLETA FORNECIMENTO E COLOCACAO</t>
  </si>
  <si>
    <t>91940</t>
  </si>
  <si>
    <t>SDC03130</t>
  </si>
  <si>
    <t>LOCAÇÃO DE CONTAINER 2,30 X 6,00 M, ALT. 2,50 M, PARA ESCRITORIO, SEM DIVISORIAS INTERNAS E SEM SANITARIO</t>
  </si>
  <si>
    <t>SDC05001</t>
  </si>
  <si>
    <r>
      <t xml:space="preserve">Área de pintura = área da porta*qtd de portas*coeficiente de pintura de porta
</t>
    </r>
    <r>
      <rPr>
        <sz val="10"/>
        <rFont val="Arial"/>
        <family val="2"/>
      </rPr>
      <t xml:space="preserve">
P2 = (1,89*4)*2=15,02m2
P3 = (1,89*21)*2=79,38m2
P4 = (1,89*2)*2=7,56m2                                                                              P7=(1,68*6)*2=20,16
TOTAL =  128,67m2</t>
    </r>
  </si>
  <si>
    <t>3 unidades</t>
  </si>
  <si>
    <t>perimetro do muro de alvenaria -93,05+93,04+0,70+23,08 +4,02 --&gt; Altura de 2,20m</t>
  </si>
  <si>
    <t>13.22</t>
  </si>
  <si>
    <t>7.6</t>
  </si>
  <si>
    <t>União 3/4''</t>
  </si>
  <si>
    <t>Transporte caçamba bota-fora com capacidade de 6m³. inclusive taxa de destinação final</t>
  </si>
  <si>
    <t>Placa padrão SEDUC + Placa dos Profissionais (0,6*1,2)</t>
  </si>
  <si>
    <t>AÇO CA50 - 32mm (CHUMBADORES DA PLACA BASE)</t>
  </si>
  <si>
    <t>AÇO DAS ESTACAS - CA60 - 5,0mm</t>
  </si>
  <si>
    <t>AÇO DAS ESTACAS - CA50 - 8,0mm</t>
  </si>
  <si>
    <t>Execuão de estaca hélice contínua monitorada, diam. 30cm, 12 m de comprimento. Não incluso armação</t>
  </si>
  <si>
    <t>AÇO DAS ESTACAS - CA60 - 5mm (kg)</t>
  </si>
  <si>
    <t>AÇO DAS ESTACAS - CA50 - 8mm (kg)</t>
  </si>
  <si>
    <t>ESCAVAÇÃO  DOS BLOCOS DE COROAMENTO (CONSIDERADO ÁREA DOS BLOCOS E FOLGA DE 20cm PARA CADA LADO) - m3</t>
  </si>
  <si>
    <t>BLOCOS DE COROAMENTO</t>
  </si>
  <si>
    <t>AÇO DOS BLOCOS DE COROAMENTO - CA50 - 6,3mm (kg)</t>
  </si>
  <si>
    <t>AÇO DOS BLOCOS DE COROAMENTO - CA50 - 8mm (kg)</t>
  </si>
  <si>
    <t xml:space="preserve">ESCAVAÇÃO  DOS BLOCOS (CONSIDERADO ÁREA DOS BLOCOS E FOLGA DE 20cm PARA CADA LADO - ALTURA DO BLOCO + 5cm DE LASTRO + ALTURA DO BALDRAME) </t>
  </si>
  <si>
    <t xml:space="preserve">REATERRO DOS BLOCOS + BALDRAMES (ESCAVAÇÃO DOS BLOCOS + ESCAVAÇÃO DAS BALDRAMES - VOLUME DE CONCRETO DOS BLOCOS - VOL. CONCRETO DOS TOCOS DE PILARES - VOL. DE CONCRETO DAS BALDRAMES) </t>
  </si>
  <si>
    <t>BOTAFORA MATERIAL DAS SAPATAS + BALDRAMES (CONSIDERADO 30% DE EMPOLAMENTO)</t>
  </si>
  <si>
    <t>BLOCOS DE FUNDAÇÃO</t>
  </si>
  <si>
    <t>4.17</t>
  </si>
  <si>
    <t>4.18</t>
  </si>
  <si>
    <t xml:space="preserve">ESCAVAÇÃO  DE BLOCO SOBRE ESTACAS (CONSIDERADO ÁREA DO BLOCO E FOLGA DE 20cm PARA CADA LADO - ALTURA DO BLOCO + 5cm DE LASTRO + ALTURA DO BALDRAME) </t>
  </si>
  <si>
    <t xml:space="preserve">REATERRO DOS BLOCOS (ESCAVAÇÃO DOS BLOCOS - VOLUME DE CONCRETO DOS BLOCOS) </t>
  </si>
  <si>
    <t>BOTAFORA MATERIAL DOS BLOCOS (CONSIDERADO 40% DE EMPOLAMENTO)</t>
  </si>
  <si>
    <t xml:space="preserve">APILOAMENTO DE FUNDO DOS BLOCOS - CONSIDERADO ÁREA ESCAVADA </t>
  </si>
  <si>
    <t xml:space="preserve">LASTRO DE CONCRETO - BLOCOS SOBRE ESTACAS (ÁREA DE APILOAMENTO * 5cm)  </t>
  </si>
  <si>
    <t>AÇO CA60 - 5mm (+ AÇO DAS ESTACAS)</t>
  </si>
  <si>
    <t>HÉLICE CONTÍNUA MONITORADA (53 ESTACAS DE 12 METROS)</t>
  </si>
  <si>
    <t>AÇO CA50 - 8mm (+ AÇO DAS ESTACAS)</t>
  </si>
  <si>
    <t xml:space="preserve">AÇO CA50 - 8mm </t>
  </si>
  <si>
    <t xml:space="preserve"> ARMAÇÃO DE PILAR OU VIGA DE UMA ESTRUTURA CONVENCIONAL DE CONCRETO ARMADO EM UMA EDIFÍCAÇÃO TÉRREA OU SOBRADO UTILIZANDO AÇO CA-50 DE 16.0 MM - MONTAGEM. AF_12/2015</t>
  </si>
  <si>
    <t xml:space="preserve">ESCAVAÇÃO  DE BLOCO SOBRE ESTACAS E VIGAS DE TRAVAMENTO (CONSIDERADO ÁREA DO BLOCO / VIGA TRAVAMENTO E FOLGA DE 20cm PARA CADA LADO - ALTURA DO BLOCO / VIGA TRAVAMENTO + 5cm DE LASTRO + ALTURA ATÉ O SOLO) </t>
  </si>
  <si>
    <t xml:space="preserve">REATERRO DOS BLOCOS E VIGAS DE TRAVAMENTO (ESCAVAÇÃO DOS BLOCOS / VIGAS DE TRAVAMENTO - VOLUME DE CONCRETO DOS ELEMENTOS) </t>
  </si>
  <si>
    <t xml:space="preserve">APILOAMENTO DE FUNDO DOS BLOCOS E VIGAS DE TRAVAMENTO - CONSIDERADO ÁREA ESCAVADA </t>
  </si>
  <si>
    <t xml:space="preserve">LASTRO DE CONCRETO - BLOCOS SOBRE ESTACAS E VIGAS DE TRAVAMENTO (ÁREA DE APILOAMENTO * 5cm)  </t>
  </si>
  <si>
    <t>BLOCOS SOBRE ESTACA</t>
  </si>
  <si>
    <t>AÇO CA60 - 5mm (+ AÇO ESTACAS)</t>
  </si>
  <si>
    <t>AÇO CA60 - 8mm (+ AÇO ESTACAS)</t>
  </si>
  <si>
    <t>HÉLICE CONTÍNUA MONITORADA (11 ESTACAS DE 12 METROS)</t>
  </si>
  <si>
    <t>BOTAFORA MATERIAL DOS BLOCOS E VIGAS DE TRAVAMENTO (CONSIDERADO 40% DE EMPOLAMENTO)</t>
  </si>
  <si>
    <t>VIGAS DE TRAVAMENTO</t>
  </si>
  <si>
    <t>LEVANTAMENTO QUANTITATIVOS PERGOLADO PLAYGROUND</t>
  </si>
  <si>
    <t>47.16</t>
  </si>
  <si>
    <t>47.17</t>
  </si>
  <si>
    <t>19.17</t>
  </si>
  <si>
    <t>Registro de gaveta bruto, latão, roscável, 1 1/4, com acabamento e canopla cromados</t>
  </si>
  <si>
    <t>Curva 90 com rosca</t>
  </si>
  <si>
    <t>Adaptador curto com bolsa e rosca para registro, pvc, soldável, dn 40mm x 1.1/4</t>
  </si>
  <si>
    <t>Joelho 90 graus, pvc, soldável, dn 40mm,</t>
  </si>
  <si>
    <t>Tubo, pvc, soldável, dn 40mm</t>
  </si>
  <si>
    <t>Tê 90 saldável 32mm</t>
  </si>
  <si>
    <t>Tê 90 saldável 40mm</t>
  </si>
  <si>
    <t>Registro de gaveta bruto, latão, roscável, 2 1/2</t>
  </si>
  <si>
    <t>Registro de gaveta bruto, latão, roscável, 3'</t>
  </si>
  <si>
    <t>Registro de gaveta bruto, latão, roscável, 2'</t>
  </si>
  <si>
    <t>Registro de gaveta bruto, latão, roscável, 3/4", com acabamento e canopla cromados</t>
  </si>
  <si>
    <t>Registro de gaveta bruto, latão, roscável, 1 1/2</t>
  </si>
  <si>
    <t>Joelho 90 graus com bucha de latão, pvc, soldável, dn 25mm, x 1/2</t>
  </si>
  <si>
    <t>Luva com bucha de latão, pvc, soldável, dn 20mm x 1/2</t>
  </si>
  <si>
    <t>Luva com bucha de latão, pvc, soldável, dn 25mm x 3/4</t>
  </si>
  <si>
    <t>Adaptador com flanges livres, pvc, soldável longo, dn 85 mm x 3</t>
  </si>
  <si>
    <t>Adaptador curto com bolsa e rosca para registro, pvc, soldável, dn 50mm x 1.1/2</t>
  </si>
  <si>
    <t>Adaptador curto com bolsa e rosca para registro, pvc, soldável, dn 75mm x 2.1/2</t>
  </si>
  <si>
    <t>Adaptador curto com bolsa e rosca para registro, pvc, soldável, dn 85mm x 3</t>
  </si>
  <si>
    <t>Bucha de reducao de pvc, soldavel, curta com 60 x 50 mm</t>
  </si>
  <si>
    <t>Bucha de reducao de pvc, soldavel, curta com 85 x 75 mm</t>
  </si>
  <si>
    <t>Bucha de reducao de pvc, soldavel, longa, com 60 x 25 mm</t>
  </si>
  <si>
    <t>Bucha de redução, pvc, soldável, dn 75mm x 50mm</t>
  </si>
  <si>
    <t>Bucha de reducao de pvc, soldavel, longa, com 85 x 60 mm</t>
  </si>
  <si>
    <t>Cap pvc, soldavel, 25 mm</t>
  </si>
  <si>
    <t>Joelho de redução 90 soldavel 25mmx20mm</t>
  </si>
  <si>
    <t xml:space="preserve"> tubo, pvc, soldável, dn 20mm</t>
  </si>
  <si>
    <t xml:space="preserve"> tubo, pvc, soldável, dn 25mm</t>
  </si>
  <si>
    <t xml:space="preserve">Joelho 90 graus com bucha de latão, pvc, soldável, dn 25mm, x 1/2 </t>
  </si>
  <si>
    <t>Tê de redução, pvc, soldável, dn 25mm x 20mm</t>
  </si>
  <si>
    <t>Tê de redução, pvc, soldável, dn 50mm x 20mm</t>
  </si>
  <si>
    <t xml:space="preserve"> te de redução, pvc, soldável, dn 75mm x 50mm</t>
  </si>
  <si>
    <t xml:space="preserve"> te de redução, pvc, soldável, dn 85mm x 60mm</t>
  </si>
  <si>
    <t>Caixa d'agua tipo taça com capacidade de 10.000 Litros</t>
  </si>
  <si>
    <t>Papeleira de parede em metal cromado sem tampa</t>
  </si>
  <si>
    <t>Bancada para cozinha em aço inox nas dimensões 1,60 x0,60m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</si>
  <si>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Bancada para cozinha em aço inox nas dimensões 3,20 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</si>
  <si>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Misturador monocomando para chuveiro, base bruta e acabamento cromado</t>
  </si>
  <si>
    <t>Junção simples, pvc, serie r, água pluvial, dn 75 x 75 mm</t>
  </si>
  <si>
    <t>Tê, pvc, esgoto, dn 50 x 50 mm</t>
  </si>
  <si>
    <t>M³</t>
  </si>
  <si>
    <t>Tubo pvc, serie normal, água pluvial, dn 150 mm, fornecido e instalado</t>
  </si>
  <si>
    <t>LAJE PRÉ-MOLDADA TRELIÇADA, PARA COBERTURA, INCLUSIVE EPS, CAPEAMENTO 4,0cm E ALTURA FINAL 12,0cm, fck=25MPa. INCLUSO ESCORAMENTO</t>
  </si>
  <si>
    <t>TELA Q-92 (20% DE TRANSPASSE)</t>
  </si>
  <si>
    <t>Pia de cozinha de aço inoxidável, cuba dupla, 2,00 x 0,55m</t>
  </si>
  <si>
    <t>Tanque de lavar duplo em mármore sintéticopreto de dimensões 1,10 x 0,60 m assentado sobre alvenaria</t>
  </si>
  <si>
    <t>ADAPTADOR CURTO COM BOLSA E ROSCA PARA REGISTRO, PVC, SOLDÁVEL, DN 40MM X 1.1/4, INSTALADO EM PRUMADA DE ÁGUA - FORNECIMENTO E INSTALAÇÃO. AF_12/2014</t>
  </si>
  <si>
    <t>TUBO, PVC, SOLDÁVEL, DN 40MM, INSTALADO EM PRUMADA DE ÁGUA - FORNECIMENTO E INSTALAÇÃO. AF_12/2014</t>
  </si>
  <si>
    <t>JOELHO 90 GRAUS, PVC, SOLDÁVEL, DN 40MM, INSTALADO EM PRUMADA DE ÁGUA - FORNECIMENTO E INSTALAÇÃO. AF_12/2014</t>
  </si>
  <si>
    <t>TE, PVC, SOLDÁVEL, DN 32MM, INSTALADO EM RAMAL DE DISTRIBUIÇÃO DE ÁGUA - FORNECIMENTO E INSTALAÇÃO. AF_12/2014</t>
  </si>
  <si>
    <t>TE, PVC, SOLDÁVEL, DN 40MM, INSTALADO EM PRUMADA DE ÁGUA - FORNECIMENTO E INSTALAÇÃO. AF_12/2014</t>
  </si>
  <si>
    <t>JOELHO DE REDUCAO, PVC SOLDAVEL, 90 GRAUS, 25 MM X 20 MM, PARA AGUA FRIA PREDIAL INSTALADO EM RAMAL OU SUB-RAMAL DE ÁGUA - FORNECIMENTO E INSTALAÇÃO.</t>
  </si>
  <si>
    <t>SDC02068</t>
  </si>
  <si>
    <t>SDC02100</t>
  </si>
  <si>
    <t>TÊ DE REDUÇÃO, PVC, SOLDÁVEL, DN 50MM X 20MM</t>
  </si>
  <si>
    <t>JUNÇÃO SIMPLES, PVC, SERIE R, ÁGUA PLUVIAL, DN 75 X 75 MM, JUNTA ELÁSTICA, FORNECIDO E INSTALADO EM CONDUTORES VERTICAIS DE ÁGUAS PLUVIAIS. AF_12/2014</t>
  </si>
  <si>
    <t>PINTURA ESMALTE BRILHANTE (2 DEMAOS) SOBRE SUPERFICIE METALICA, INCLUSIVE PROTECAO COM ZARCAO (1 DEMAO)</t>
  </si>
  <si>
    <t>50.10</t>
  </si>
  <si>
    <t xml:space="preserve"> CURVA 90 GRAUS, PVC, SOLDÁVEL, DN 32MM, INSTALADO EM RAMAL DE DISTRIBUIÇÃO DE ÁGUA - FORNECIMENTO E INSTALAÇÃO. AF_12/2014</t>
  </si>
  <si>
    <t>Cabo 50mm² EPR</t>
  </si>
  <si>
    <t>Tomada média 2P+T 10A 1 módulo</t>
  </si>
  <si>
    <t>Tomada alta 2P+T 10A 1 módulo</t>
  </si>
  <si>
    <t>Tomada alta 2P+T 20A 1 módulo</t>
  </si>
  <si>
    <t>Caixa retangular 4" x 2"média</t>
  </si>
  <si>
    <t>Caixa retangular 4" x 2" alta</t>
  </si>
  <si>
    <t>Eletroduto corrugado 1" em parede</t>
  </si>
  <si>
    <t>Eletroduto corrugado 3/4" em laje</t>
  </si>
  <si>
    <t>Duto PEAD 1"</t>
  </si>
  <si>
    <t>CABO DE COBRE ISOLADO EM EPR FLEXÍVEL 50MM² - 0,6KV/1KV/90°</t>
  </si>
  <si>
    <t>SDC03066</t>
  </si>
  <si>
    <t>65.66</t>
  </si>
  <si>
    <t>TOMADA MÉDIA DE EMBUTIR (1 MÓDULO), 2P+T 10 A, INCLUINDO SUPORTE E PLACA - FORNECIMENTO E INSTALAÇÃO. AF_12/2015</t>
  </si>
  <si>
    <t>65.67</t>
  </si>
  <si>
    <t>65.68</t>
  </si>
  <si>
    <t>TOMADA ALTA DE EMBUTIR (1 MÓDULO), 2P+T 10 A, INCLUINDO SUPORTE E PLACA - FORNECIMENTO E INSTALAÇÃO. AF_12/2015</t>
  </si>
  <si>
    <t>TOMADA ALTA DE EMBUTIR (1 MÓDULO), 2P+T 20 A, INCLUINDO SUPORTE E PLACA - FORNECIMENTO E INSTALAÇÃO. AF_12/2015</t>
  </si>
  <si>
    <t>CAIXA RETANGULAR 4" X 2" ALTA (2,00 M DO PISO), PVC, INSTALADA EM PAREDE - FORNECIMENTO E INSTALAÇÃO. AF_12/2015</t>
  </si>
  <si>
    <t>Ralo hemisférico 100mm</t>
  </si>
  <si>
    <t>(COMPOSIÇÃO REPRESENTATIVA) DO SERVIÇO DE INSTALAÇÃO DE TUBO DE PVC, SÉRIE NORMAL, ESGOTO PREDIAL, DN 150 MM (INSTALADO EM SUB-COLETOR AÉREO), INCLUSIVE CONEXÕES, CORTES E FIXAÇÕES, PARA PRÉDIOS. AF_10/2015</t>
  </si>
  <si>
    <t>TUBO DE PVC PARA REDE COLETORA DE ESGOTO DE PAREDE MACIÇA, DN 200 MM, JUNTA ELÁSTICA, INSTALADO EM LOCAL COM NÍVEL BAIXO DE INTERFERÊNCIAS - FORNECIMENTO E ASSENTAMENTO. AF_06/2015</t>
  </si>
  <si>
    <t>Tubo de pvc, dn 200 mm, fornecido e instalado</t>
  </si>
  <si>
    <t>RALO HEMISFÉRICO EM Fº Fº, TIPO ABACAXI 100MM</t>
  </si>
  <si>
    <t>SDC02050</t>
  </si>
  <si>
    <t>Duto PEAD 3"</t>
  </si>
  <si>
    <t xml:space="preserve">Placa em ACM com logo do estado com dimensões </t>
  </si>
  <si>
    <t>FORNECIMENTO E INSTALAÇÃO DE LETRA CAIXA 30 CM EM CHAPA GALVANIZADA PINTADA COM TINTA AUTOMOTIVA, PARA LETREIRO COM NOME DA INSTITUIÇÃO</t>
  </si>
  <si>
    <t>SDC04033</t>
  </si>
  <si>
    <t>AÇO CA50 - 12.5mm (CHUMBADORES DA PLACA BASE)</t>
  </si>
  <si>
    <t>COBERTURA METÁLICA (Quadra + Vestiário)</t>
  </si>
  <si>
    <t>38.7</t>
  </si>
  <si>
    <t>Área construida do bloco educacional = 2073,02
Calçadas do entorno  = 263,17
Abrigo de  GLP 1,52m² x 2 unid = 3,04m²
Abrigo de Lixo = 1,89m²
Áreas pavimentadas = 2423,40
Calçada externa =1267,08</t>
  </si>
  <si>
    <t>Perimetro*2,2 altura tapume 
(3 lados do terreno) 110,31+3,99+188,75+4,03+40,28+2,41+151,69 = 501,46* 2,2 m altura tapume</t>
  </si>
  <si>
    <t>Fechamento em alvenaria do bloco educacional + parte do muro com o hidrante =  2887,88+8,80
Muro divisa = 74,50 x 2,20 = 163,90</t>
  </si>
  <si>
    <t>Área de todo o bloco educacional, descontando o oitão na parte interna aonde não pode ser visto pois a laje vai tampar= 4.574,37 + muro do hidrante (4,00x2,20= 8,80*2=17,60)+ muro de divisa (163,90*2=327,80)</t>
  </si>
  <si>
    <t xml:space="preserve">Área bloco educacional + muro do hidrante </t>
  </si>
  <si>
    <t>7.9</t>
  </si>
  <si>
    <t xml:space="preserve">Impermeabilizante áreas molhadas- banheiros e copa h= 1,10m  e área externa com patio coberto 1,10m. + muro de divisa do terreno (100,51*1,10)= 110,56  e muro com hidrante (163,90*1,10=180,29 4,22*1,10 = 4,64) </t>
  </si>
  <si>
    <t>*Calçada em volta de todo bloco escolar + ciurlações esternas
Calçada Bloco = 263,18m²
Área  bicicletario 01 = 46,65m²
 Área  bicicletario 02 = 15,90m²
 Área acesso principal = 29,85m²
 Área acesso secundário = 32,78m²
 Área calçada acesso ciclista = 165,21m²
 Área calçada acesso ciclista quadra poliesportiva = 104,87m²</t>
  </si>
  <si>
    <t>Meio fio calçadas interna = 478,75ml
Meio fio calçadas externa = 492,17ml</t>
  </si>
  <si>
    <t>Meio fio calçadas externa = 7,75+7,49+4,68 = 19,92</t>
  </si>
  <si>
    <t>Estacionamento = 459,92
Patio descoberto = 875,95</t>
  </si>
  <si>
    <t>Aplicação de massa acrilica  em paredes externas</t>
  </si>
  <si>
    <t xml:space="preserve">área externa do bloco educacional e as paredes do patio coberto , descontando as faixas de pastilha da fachada e o barrado do patio coberto + muro do hidrante </t>
  </si>
  <si>
    <t>área externa do bloco educacional e as paredes do patio coberto , descontando as faixas de pastilha da fachada e o barrado do patio coberto= 987,14 + muro divisa do terreno lado interno da escola = 163,90+ muro do hidrante = 17,60</t>
  </si>
  <si>
    <t>PLACA CAIXA ACM LOGO DO GOVERNO</t>
  </si>
  <si>
    <t>Área de grama da escola = 3219,94</t>
  </si>
  <si>
    <t>Oiti</t>
  </si>
  <si>
    <t xml:space="preserve">area arborea 2, 6, 7, 8, 9, 11, 12 e 13= 32 unidades </t>
  </si>
  <si>
    <t>Jerivá</t>
  </si>
  <si>
    <t>area arborea 2, 3, 4, 5, 8,10 e 11 = 14 unidades</t>
  </si>
  <si>
    <t>PLANTIO DE ARVORE REGIONAL, ALTURA MAIOR QUE 2,00M, EM CAVAS DE 80X80X80CM</t>
  </si>
  <si>
    <t>73967/002</t>
  </si>
  <si>
    <t>Perimetro do gradil  
110,30+4,00+39,37+43,70+88,18+4,03+40,28+2,41+53,78+93,26</t>
  </si>
  <si>
    <t>portão 2 folhas = (4,30*2,20) = 9,46
4 Unidades</t>
  </si>
  <si>
    <t>Letra caixa h=0,70cm
Escrita em 1 fachadas: E E SOUZA LIMA</t>
  </si>
  <si>
    <t>Cobertura em Policarobonato</t>
  </si>
  <si>
    <t>Cobertura Playground</t>
  </si>
  <si>
    <t>12.17</t>
  </si>
  <si>
    <t>Brises Metalicos</t>
  </si>
  <si>
    <t>Brise = 3,06m x 3,60h = 11,016 x 7 unid 
Portas = 2,10 x 0,70 = 1,47 x 7 unid</t>
  </si>
  <si>
    <t>Escola = 106*0,25
Calçada externa =234*0,25</t>
  </si>
  <si>
    <t>Escola = 427 unid
Calçada externa = 1960</t>
  </si>
  <si>
    <t>500 + 179 unidades*0,25m*0,25M</t>
  </si>
  <si>
    <t>Limpeza vidro</t>
  </si>
  <si>
    <t xml:space="preserve">Igual area de esquadrias + pele de vidro </t>
  </si>
  <si>
    <t>Limpeza azulejos</t>
  </si>
  <si>
    <t>Igual area de revestimentos 20x20 e 5x5</t>
  </si>
  <si>
    <t xml:space="preserve">Lastro de concreto 10cm </t>
  </si>
  <si>
    <t>Carga e descarga = 122,84
Calçada externa=1267,08</t>
  </si>
  <si>
    <t>demarcação piso bicicletário</t>
  </si>
  <si>
    <t>Bicicletario 01 = 46,65
Bicicletario 02 = 15,90</t>
  </si>
  <si>
    <t xml:space="preserve"> EXECUÇÃO DE PASSEIO (CALÇADA) OU PISO DE CONCRETO COM CONCRETO MOLDADO IN LOCO, USINADO, ACABAMENTO CONVENCIONAL, ESPESSURA 10 CM, ARMADO. AF_07/2016</t>
  </si>
  <si>
    <t>48.8</t>
  </si>
  <si>
    <t>48.9</t>
  </si>
  <si>
    <t>SDC01095</t>
  </si>
  <si>
    <t>BRISE METÁLICO, COM PINTURA ESMALTE SINTÉTICO, DIMENSÃO DO METALON 40X30CM E CHAPA 18</t>
  </si>
  <si>
    <t>16.13</t>
  </si>
  <si>
    <t>Uma unidade de abrigo de gás: 01un para atender a cozinha  + 01un para atender os laboratórios (P45)</t>
  </si>
  <si>
    <t>Escavação para tubulação de gás</t>
  </si>
  <si>
    <t>Reaterro de Vala Compactado</t>
  </si>
  <si>
    <t>Reaterro para tubulação de gás</t>
  </si>
  <si>
    <t>Tubulação</t>
  </si>
  <si>
    <t>Tudo de Aço carbono 3/4</t>
  </si>
  <si>
    <t>Tubo de Aço Carbono 3/4" 
Cozinha: 15,30ml
Laboratórios: 42,57ml</t>
  </si>
  <si>
    <t>Tudo de Aço carbono 1/2</t>
  </si>
  <si>
    <t>Tubo de Aço Carbono 1/2" 
Laboratórios: 30,00ml</t>
  </si>
  <si>
    <t>Joelho de 90° 3/4</t>
  </si>
  <si>
    <t>Caminho tubulação de gás</t>
  </si>
  <si>
    <t>"T" 3/4</t>
  </si>
  <si>
    <t>Joelho de 90° 1/2</t>
  </si>
  <si>
    <t>"T" 1/2</t>
  </si>
  <si>
    <t>LIMPEZA VIDRO COMUM</t>
  </si>
  <si>
    <t>73948/008</t>
  </si>
  <si>
    <t>LIMPEZA AZULEJO</t>
  </si>
  <si>
    <t>73948/003</t>
  </si>
  <si>
    <t>Área construida do bloco educacional = 2073,02
Abrigo de  GLP 1,52m² x 2 unid = 3,04m²
Abrigo de Lixo = 1,89m²</t>
  </si>
  <si>
    <t>14.3</t>
  </si>
  <si>
    <t>A união será utilizada a cada 6m de eletroduto do percurso do abrigo até a saída de gás, de acordo com o projeto.</t>
  </si>
  <si>
    <t xml:space="preserve"> bucha de reducao de pvc, soldavel, longa, com 50 x 25 mm</t>
  </si>
  <si>
    <t>Caixa d'agua tipo taça com capacidade de 5.000 Litros</t>
  </si>
  <si>
    <t>Preparo de fundo de vala com largura menor que 1,5 m, em local com nível baixo de interferência. Af_06/2016 (regularizacao e apiloamento de fundo de valas)</t>
  </si>
  <si>
    <t>Alvenaria em tijolo ceramico macico 5x10x20cm 1/2 vez (espessura 10cm), assentado com argamassa traco 1:2:8 (cimento, cal e areia)</t>
  </si>
  <si>
    <t>Argamassa traco 1:4 (cimento e areia), preparo manual, incluso aditivo impermeabilizante (paredes da vala)</t>
  </si>
  <si>
    <t>Lastro de concreto, e = 5 cm, preparo mecânico, inclusos lançamento e adensamento. Af_07_2016 (fundo da vala)</t>
  </si>
  <si>
    <t>Grelha em ferro fundido simples com requadro, carga máxima 12,5 t, 300 x 1000 mm, e = 15 mm, fornecida e assentada com argamassa 1:4 cimento:areia.</t>
  </si>
  <si>
    <t>TÊ DE REDUÇÃO, PVC, SOLDÁVEL, DN 25MM X 20MM, INSTALADO EM RAMAL DE DISTRIBUIÇÃO DE ÁGUA - FORNECIMENTO E INSTALAÇÃO. AF_12/2014</t>
  </si>
  <si>
    <t>CAIXA D'AGUA TIPO TAÇA COM CAPACIDADE DE 5.000 LITROS COM COLUNA SECA, INCLUSIVE INSTALAÇÃO</t>
  </si>
  <si>
    <t xml:space="preserve">SDC02021 </t>
  </si>
  <si>
    <t>BANCADA PARA COZINHA EM AÇO INOX NAS DIMENSÕES 1,60X0,60M COM 01 CUBA EM AÇO INOX DE DIMENSÕES 0,50 X 0,45 X 0,35,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</si>
  <si>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 xml:space="preserve">SDC02103 </t>
  </si>
  <si>
    <t>BANCADA PARA COZINHA EM AÇO INOX NAS DIMENSÕES 3,2X0,80M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</si>
  <si>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SDC02102</t>
  </si>
  <si>
    <t>GRELHA EM FERRO FUNDIDO SIMPLES COM REQUADRO, CARGA MÁXIMA 12,5 T, 300 X 1000 MM, E = 15 MM, FORNECIDA E ASSENTADA COM ARGAMASSA 1:4 CIMENTO:AREIA.</t>
  </si>
  <si>
    <t>73799/001</t>
  </si>
  <si>
    <t>PREPARO DE FUNDO DE VALA COM LARGURA MENOR QUE 1,5 M, EM LOCAL COM NÍVEL BAIXO DE INTERFERÊNCIA. AF_06/2016 (REGULARIZACAO E APILOAMENTO DE FUNDO DE VALAS)</t>
  </si>
  <si>
    <t>ARGAMASSA TRACO 1:4 (CIMENTO E AREIA), PREPARO MANUAL, INCLUSO ADITIVO IMPERMEABILIZANTE (PAREDES DA VALA)</t>
  </si>
  <si>
    <t>LASTRO DE CONCRETO, E = 5 CM, PREPARO MECÂNICO, INCLUSOS LANÇAMENTO E ADENSAMENTO. AF_07_2016 (FUNDO DA VALA)</t>
  </si>
  <si>
    <t>63.15</t>
  </si>
  <si>
    <t>63.16</t>
  </si>
  <si>
    <t>63.17</t>
  </si>
  <si>
    <t>Disjuntor monopolar tipo din, corrente nominal de 32a - fornecimento e instalação. Af_04/2016</t>
  </si>
  <si>
    <t>DISJUNTOR MONOPOLAR TIPO DIN, CORRENTE NOMINAL DE 32A - FORNECIMENTO E INSTALAÇÃO. AF_04/2016</t>
  </si>
  <si>
    <t>11.58</t>
  </si>
  <si>
    <t>11.59</t>
  </si>
  <si>
    <t>11.60</t>
  </si>
  <si>
    <t>11.61</t>
  </si>
  <si>
    <t>11.62</t>
  </si>
  <si>
    <t>11.64</t>
  </si>
  <si>
    <t>11.65</t>
  </si>
  <si>
    <t>11.66</t>
  </si>
  <si>
    <t>CABO DE COBRE ISOLADO EM EPR FLEXÍVEL 16MM² - 0,6KV/1KV/90°</t>
  </si>
  <si>
    <t>SDC03063</t>
  </si>
  <si>
    <t>SDC03064</t>
  </si>
  <si>
    <t>SDC03065</t>
  </si>
  <si>
    <t>CABO DE COBRE ISOLADO EM EPR FLEXÍVEL 25MM² - 0,6KV/1KV/90°</t>
  </si>
  <si>
    <t xml:space="preserve"> CABO DE COBRE ISOLADO EM EPR FLEXÍVEL 70MM² - 0,6KV/1KV/90°</t>
  </si>
  <si>
    <t>SDC03067</t>
  </si>
  <si>
    <t>SDC03069</t>
  </si>
  <si>
    <t xml:space="preserve"> CABO DE COBRE ISOLADO EM EPR FLEXÍVEL 120MM² - 0,6KV/1KV/90°</t>
  </si>
  <si>
    <t>SDC03031</t>
  </si>
  <si>
    <t>ELETRODUTO ZINCADO, INCLUSIVE CONEXÕES DE 1"</t>
  </si>
  <si>
    <t>29.8</t>
  </si>
  <si>
    <t>LUVA P/ELETRODUTO ZINCADO 3/4"</t>
  </si>
  <si>
    <t>29.9</t>
  </si>
  <si>
    <t>LUVA P/ELETRODUTO ZINCADO 1"</t>
  </si>
  <si>
    <t>29.10</t>
  </si>
  <si>
    <t>CURVA 90° DE FERRO ZINCADO P/ ELTRODUTO DE 1"</t>
  </si>
  <si>
    <t>29.11</t>
  </si>
  <si>
    <t>29.12</t>
  </si>
  <si>
    <t>29.13</t>
  </si>
  <si>
    <t>29.14</t>
  </si>
  <si>
    <t>29.15</t>
  </si>
  <si>
    <t>29.16</t>
  </si>
  <si>
    <t>29.18</t>
  </si>
  <si>
    <t>SDC03123</t>
  </si>
  <si>
    <t>Hidrante de parede</t>
  </si>
  <si>
    <t>CAIXA DE INCÊNDIO 60X75X17CM - FORNECIMENTO E INSTALAÇÃO</t>
  </si>
  <si>
    <t>30.2</t>
  </si>
  <si>
    <t>NIPLE, EM FERRO GALVANIZADO, DN 65 (2 1/2"), CONEXÃO ROSQUEADA, INSTALADO EM PRUMADAS - FORNECIMENTO E INSTALAÇÃO. AF_12/2015</t>
  </si>
  <si>
    <t>30.3</t>
  </si>
  <si>
    <t>74169/001</t>
  </si>
  <si>
    <t>REGISTRO/VALVULA GLOBO ANGULAR 45 GRAUS EM LATAO PARA HIDRANTES DE INCÊNDIO PREDIAL DN 2.1/2, COM VOLANTE, CLASSE DE PRESSAO DE ATE 200 PSI - FORNECIMENTO E INSTALACAO</t>
  </si>
  <si>
    <t>30.4</t>
  </si>
  <si>
    <t>30.5</t>
  </si>
  <si>
    <t>SDC07026</t>
  </si>
  <si>
    <t>30.6</t>
  </si>
  <si>
    <t>30.7</t>
  </si>
  <si>
    <t>Hidrante de recalque</t>
  </si>
  <si>
    <t>30.8</t>
  </si>
  <si>
    <t>CAIXA DE INCÊNDIO 45X75X17CM - FORNECIMENTO E INSTALAÇÃO</t>
  </si>
  <si>
    <t>30.9</t>
  </si>
  <si>
    <t>SDC07036</t>
  </si>
  <si>
    <t>COTOVELO 45° DE AÇO GALV. (2.1/2")</t>
  </si>
  <si>
    <t>30.10</t>
  </si>
  <si>
    <t>30.11</t>
  </si>
  <si>
    <t>Abrigo para registro de gaveta e valvula de retenção</t>
  </si>
  <si>
    <t>30.12</t>
  </si>
  <si>
    <t>SDC07030</t>
  </si>
  <si>
    <t>30.13</t>
  </si>
  <si>
    <t>30.14</t>
  </si>
  <si>
    <t>30.15</t>
  </si>
  <si>
    <t>ASSENTAMENTO DE TAMPÃO DE FERRO FUNDIDO 600MM</t>
  </si>
  <si>
    <t>30.16</t>
  </si>
  <si>
    <t>ALVENARIA EM TIJOLO CERÂMICO MACIÇO 5X10X20CM 1/2 VEZ (ESPESSURA 10CM), ASSENTADO COM ARGAMASSA TRAÇO 1:2:8 (CIMENTO, CAL E AREIA)</t>
  </si>
  <si>
    <t>30.17</t>
  </si>
  <si>
    <t>SDC07015</t>
  </si>
  <si>
    <t>FORNECIMENTO E INSTALAÇÃO DE ACIONADOR MANUAL LIGA DESLIGA, BOTOEIRA, TIPO QUEBRA VIDRO, PARA ACIONAMENTO DA BOMBA DO HIDRANTE</t>
  </si>
  <si>
    <t>30.18</t>
  </si>
  <si>
    <t>30.19</t>
  </si>
  <si>
    <t>TUBO GALVANIZADO SEM CUSTURA C/ROSCA 2 1/2", BARRA DE 6 METROS COM ESPESSURA DE 3,5MM - INSTALADO EM REDE DE ALIMENTAÇÃO PARA HIDRANTE</t>
  </si>
  <si>
    <t>30.20</t>
  </si>
  <si>
    <t>30.21</t>
  </si>
  <si>
    <t>30.22</t>
  </si>
  <si>
    <t>30.23</t>
  </si>
  <si>
    <t>30.25</t>
  </si>
  <si>
    <t>30.27</t>
  </si>
  <si>
    <t>SDC03114</t>
  </si>
  <si>
    <t>FORNECIMENTO E INSTALAÇÃO CHAVE DE PARTIDA PARA BOMBA 7,5CV</t>
  </si>
  <si>
    <t>30.31</t>
  </si>
  <si>
    <t>30.32</t>
  </si>
  <si>
    <t>30.33</t>
  </si>
  <si>
    <t>30.34</t>
  </si>
  <si>
    <t>30.35</t>
  </si>
  <si>
    <t>SDC04049</t>
  </si>
  <si>
    <t>MURETA C/TIJOLO MACIÇO, REBOCADA, INCL. FUNDAÇÕES</t>
  </si>
  <si>
    <t>30.36</t>
  </si>
  <si>
    <t>30.37</t>
  </si>
  <si>
    <t>30.38</t>
  </si>
  <si>
    <t>SDC07014</t>
  </si>
  <si>
    <t>30.39</t>
  </si>
  <si>
    <t xml:space="preserve"> DISJUNTOR TRIPOLAR TIPO DIN, CORRENTE NOMINAL DE 40A - FORNECIMENTO E INSTALAÇÃO. AF_04/2016</t>
  </si>
  <si>
    <t>30.40</t>
  </si>
  <si>
    <t>ELETRODUTO ZINCADO, INCLUSIVE CONEXÕES DE 1" ( CASA DE BOMBA)</t>
  </si>
  <si>
    <t>LUVA P/ELETRODUTO ZINCADO 1" (Casa de Bomba)</t>
  </si>
  <si>
    <t>CURVA 90° DE FERRO ZINCADO P/ ELTRODUTO DE 1" (Casa de Bomba)</t>
  </si>
  <si>
    <t>ABRAÇADEIRA TIPO "D" COM CUNHA, DIÂMETRO 1" (Casa de Bomba)</t>
  </si>
  <si>
    <t>LUMINARIA DE EMERGENCIA 24 LEDS, POTENCIA 32 W, BATERIA DE LITIO, Bloco Autonomo DE 960 LUMENS</t>
  </si>
  <si>
    <t>31.1</t>
  </si>
  <si>
    <t>CISTERNA - RTI - RESERVA TÉCNICA DE INCÊNDIO</t>
  </si>
  <si>
    <t>CAIXA METÁLICA 10.000 LITROS, CONFORME PROJETO PADRÃO SEDUC</t>
  </si>
  <si>
    <t xml:space="preserve">SDC03021 </t>
  </si>
  <si>
    <t>ELETRODUTO ZINCADO LEVE 3/4" X 3M - FORNECIMENTO E INSTALAÇÃO</t>
  </si>
  <si>
    <t>SDC03070</t>
  </si>
  <si>
    <t>SDC03022</t>
  </si>
  <si>
    <t>SDC03023</t>
  </si>
  <si>
    <t>FORNECIMENTO E INSTALAÇÃO DE TAMPA CEGA P/CONDULETE 3/4"</t>
  </si>
  <si>
    <t>SDC03024</t>
  </si>
  <si>
    <t>FORNECIMENTO E INSTALAÇÃO DE TAMPA CEGA P/CONDULETE 1"</t>
  </si>
  <si>
    <t xml:space="preserve"> PINTURA ESMALTE FOSCO, DUAS DEMAOS, SOBRE SUPERFICIE METALICA, INCLUSO UMA DEMAO DE FUNDO ANTICORROSIVO. UTILIZACAO DE REVOLVER ( AR-COMPRIMIDO).</t>
  </si>
  <si>
    <t>CONDULETE DE PVC, TIPO X, PARA ELETRODUTO DE PVC SOLDÁVEL DN 32 MM (1''), APARENTE - FORNECIMENTO E INSTALAÇÃO. AF_11/2016</t>
  </si>
  <si>
    <t>69.12</t>
  </si>
  <si>
    <t>69.13</t>
  </si>
  <si>
    <t>69.14</t>
  </si>
  <si>
    <t>69.15</t>
  </si>
  <si>
    <t>69.16</t>
  </si>
  <si>
    <t>69.17</t>
  </si>
  <si>
    <t>69.18</t>
  </si>
  <si>
    <t>69.19</t>
  </si>
  <si>
    <t>69.20</t>
  </si>
  <si>
    <t>FORNECIMENTO E INSTALAÇÃO DE ADAPTADOR STORZ PARA ENGATE RAPIDO 2.1/2 COM TAMPÃO E CORRENTE</t>
  </si>
  <si>
    <t xml:space="preserve">SDC07017 </t>
  </si>
  <si>
    <t>FORNECIMENTO E INSTALAÇÃO DE ESGUICHO JATO SÓLIDO, EM LATÃO, ENGATE RÁPIDO 1.1/2" X 19MM</t>
  </si>
  <si>
    <t>SDC07011</t>
  </si>
  <si>
    <t>CONJUNTO DE MANGUEIRA PARA COMBATE A INCENDIO EM FIBRA DE POLIESTER PURA, COM 1.1/2", REVESTIDA INTERNAMENTE, COM 2 LANCES DE 15M CADA</t>
  </si>
  <si>
    <t>SDC07010</t>
  </si>
  <si>
    <t>FORNECIMENTO DE CHAVE PARA CONEXÃO DE MANGUEIRA TIPO STORZ ENGATE RÁPIDO DUPLA 1.1/2" X 2.1/2"</t>
  </si>
  <si>
    <t>FORNECIMENTO E INSTALAÇÃO DE ADAPTADOR STORZ PARA ENGATE RÁPIDO 2 1/2 X 1 1/2 COM TAMPÃO E CORRENTE (INCÊNDIO)</t>
  </si>
  <si>
    <t>FORNECIMENTO E INSTALAÇÃO DE TAMPA DE FERRO 60 X 40 CM COM A INSCRIÇÃO INCÊNDIO</t>
  </si>
  <si>
    <t xml:space="preserve"> FORNECIMENTO E INSTALAÇÃO DE BOMBA TRIFÁSICA 5CV - 220/380V</t>
  </si>
  <si>
    <t>SDC07012</t>
  </si>
  <si>
    <t>70.32</t>
  </si>
  <si>
    <t>70.33</t>
  </si>
  <si>
    <t>70.34</t>
  </si>
  <si>
    <t>70.35</t>
  </si>
  <si>
    <t>70.36</t>
  </si>
  <si>
    <t>70.37</t>
  </si>
  <si>
    <t>70.38</t>
  </si>
  <si>
    <t>70.39</t>
  </si>
  <si>
    <t>70.40</t>
  </si>
  <si>
    <t>29.7</t>
  </si>
  <si>
    <t>29.17</t>
  </si>
  <si>
    <t>29.19</t>
  </si>
  <si>
    <t>29.20</t>
  </si>
  <si>
    <t>FIM</t>
  </si>
  <si>
    <t>30.24</t>
  </si>
  <si>
    <t>30.26</t>
  </si>
  <si>
    <t>30.28</t>
  </si>
  <si>
    <t>30.29</t>
  </si>
  <si>
    <t>30.30</t>
  </si>
  <si>
    <t>FORNECIMENTO E INSTALAÇÃO DE REGISTRO GAVETA BRUTO, D = 65 MM (2 1/2)</t>
  </si>
  <si>
    <t xml:space="preserve">73769/002 </t>
  </si>
  <si>
    <t>SDC02104</t>
  </si>
  <si>
    <t>CISTERNA EM CONCRETO ARMADO, CAP. 24.500 LITROS, CONFORME PROJETO PADRÃO SEDUC - FUNDAÇÕES EM ESTACA</t>
  </si>
  <si>
    <t xml:space="preserve">02/2017 SINAPI
</t>
  </si>
  <si>
    <t>6.11</t>
  </si>
  <si>
    <t>15.2</t>
  </si>
  <si>
    <t>15.3</t>
  </si>
  <si>
    <t>17.2</t>
  </si>
  <si>
    <t>17.3</t>
  </si>
  <si>
    <t>18.1</t>
  </si>
  <si>
    <t>21.6</t>
  </si>
  <si>
    <t>21.10</t>
  </si>
  <si>
    <t>34.9</t>
  </si>
  <si>
    <t>46.2</t>
  </si>
  <si>
    <t>46.3</t>
  </si>
  <si>
    <t>50.6</t>
  </si>
  <si>
    <t>52.6</t>
  </si>
  <si>
    <t>67.4</t>
  </si>
  <si>
    <t>71.3</t>
  </si>
  <si>
    <t>Sete milhões, quatrocentos e quarenta e dois mil, quatrocentose dois reais e trinta e seis centavos.</t>
  </si>
  <si>
    <t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t>
  </si>
  <si>
    <t>Avenida Principal, S/ nº, Souza Lima - Varzea Grande/ MT</t>
  </si>
  <si>
    <r>
      <t xml:space="preserve">Alíquota de </t>
    </r>
    <r>
      <rPr>
        <b/>
        <i/>
        <u/>
        <sz val="11"/>
        <color indexed="10"/>
        <rFont val="Calibri Light"/>
        <family val="2"/>
      </rPr>
      <t>Várzea Grande</t>
    </r>
    <r>
      <rPr>
        <i/>
        <sz val="11"/>
        <color indexed="10"/>
        <rFont val="Calibri Light"/>
        <family val="2"/>
      </rPr>
      <t xml:space="preserve"> = 5,0%</t>
    </r>
  </si>
  <si>
    <t>Várzea Grande</t>
  </si>
  <si>
    <t>SOMATÓRIA</t>
  </si>
  <si>
    <t xml:space="preserve">LEVANTAMENTO QUANTITATIVOS BLOCO 02 </t>
  </si>
  <si>
    <t>LEVANTAMENTO QUANTITATIVOS BLOCO 1</t>
  </si>
  <si>
    <t>LEVANTAMENTO QUANTITATIVOS REFEITÓRIO</t>
  </si>
  <si>
    <t>MAPA DE COTAÇÃO DE INSUMOS</t>
  </si>
  <si>
    <t>FONTE</t>
  </si>
  <si>
    <t>DATA</t>
  </si>
  <si>
    <t xml:space="preserve">UNI </t>
  </si>
  <si>
    <t>P. UNIT. (R$)</t>
  </si>
  <si>
    <t>MEDIANA TOTAL (R$)</t>
  </si>
  <si>
    <t>AÇOFER INDÚSTRIA E COMÉRCIO LTDA</t>
  </si>
  <si>
    <t>HELTON</t>
  </si>
  <si>
    <t>1KG</t>
  </si>
  <si>
    <t>FERMAT</t>
  </si>
  <si>
    <t>03.658.692/0004-09</t>
  </si>
  <si>
    <t>MARIELE</t>
  </si>
  <si>
    <t>PERFILADOS MULTIAÇO</t>
  </si>
  <si>
    <t>02.019.067/0001-01</t>
  </si>
  <si>
    <t>DALVA</t>
  </si>
  <si>
    <t>Proloja Vidros</t>
  </si>
  <si>
    <t>3624-9925</t>
  </si>
  <si>
    <t>Diego</t>
  </si>
  <si>
    <t>Serralheria Pinheiro</t>
  </si>
  <si>
    <t>99227-5424</t>
  </si>
  <si>
    <t>Geniva</t>
  </si>
  <si>
    <t>Serralheria Jesus</t>
  </si>
  <si>
    <t>99278-6775</t>
  </si>
  <si>
    <t>SERRALHERIA PINHEIRO</t>
  </si>
  <si>
    <t>9'9607-7626</t>
  </si>
  <si>
    <t>GENIVALDO</t>
  </si>
  <si>
    <t>99986-5352</t>
  </si>
  <si>
    <t>MAQ Inox</t>
  </si>
  <si>
    <t>RESERVATÓRIO METÁLICO TIPO TAÇA 10.000 LT, COM COLUNA SECA</t>
  </si>
  <si>
    <t>REGINALDO</t>
  </si>
  <si>
    <t>MOINHO MATERIAIS PARA CONSTRUÇÃO</t>
  </si>
  <si>
    <t>BANCADA EM AÇO INOX 1,70X0,6M COM 01 CUBAS</t>
  </si>
  <si>
    <t>REFRIGERAÇÃO PANAN</t>
  </si>
  <si>
    <t>FELLIPE</t>
  </si>
  <si>
    <t>MAQ-INOX MET. IND. COM.</t>
  </si>
  <si>
    <t>REFRICOLL REFRIGERAÇÃO</t>
  </si>
  <si>
    <t>09.258.198/0001-82</t>
  </si>
  <si>
    <t>ALEXANDRE</t>
  </si>
  <si>
    <t>MAQ-INOXMET</t>
  </si>
  <si>
    <t>VENTILADOR DE TETO</t>
  </si>
  <si>
    <t>Castelli Mat Construção Ltda</t>
  </si>
  <si>
    <t>11.000.062/0001-10</t>
  </si>
  <si>
    <t>Wesley</t>
  </si>
  <si>
    <t>REDEDISTRIBUIDORA ELÉTRICA</t>
  </si>
  <si>
    <t>CAIXA DE INSPEÇÃO TIPO SOLO EM PVC COM DIAMETRO 250MM</t>
  </si>
  <si>
    <t>TAMPA CAIXA DE INSPEÇÃO COM DIAMETRO 250MM</t>
  </si>
  <si>
    <t>ELETRODUTO ZINCADO 3/4"</t>
  </si>
  <si>
    <t>TAMPA CEGA PARA CONDULETE 3/4"</t>
  </si>
  <si>
    <t>REDE DISTRIBUIDORA</t>
  </si>
  <si>
    <t>RODRIGO</t>
  </si>
  <si>
    <t>PISO TÁTIL EM CONCRETO, 25X25CM - DIRECIONAL E E ALERTA</t>
  </si>
  <si>
    <t>GEOBLOCOS</t>
  </si>
  <si>
    <t>13.537.179/0001-62</t>
  </si>
  <si>
    <t>3667-4802</t>
  </si>
  <si>
    <t>CASTELLI</t>
  </si>
  <si>
    <t>LAURIANO</t>
  </si>
  <si>
    <t>Loja das molduras</t>
  </si>
  <si>
    <t>04.586.826/0001-35</t>
  </si>
  <si>
    <t>3023-8979</t>
  </si>
  <si>
    <t>Cristiana</t>
  </si>
  <si>
    <t>Excelência Vidros</t>
  </si>
  <si>
    <t>18.238.971/0001-30</t>
  </si>
  <si>
    <t>2127-5000</t>
  </si>
  <si>
    <t>amanda</t>
  </si>
  <si>
    <t>Empório do Vidro</t>
  </si>
  <si>
    <t>08.117.730/0001-89</t>
  </si>
  <si>
    <t>3023-7878</t>
  </si>
  <si>
    <t>Adriana</t>
  </si>
  <si>
    <t>FORNECIMENTO DE TOTEM EM CONCRETO ARMADO DE ACORDO COM MODELO DA SEDUC</t>
  </si>
  <si>
    <t>CHUVEIRO E LAVA OLHOS  EM AÇO GALVANIZADO COM ACIONAMENTO MANUAL  NO PISO</t>
  </si>
  <si>
    <t>LABORMERD PROD. MED. HOSP. LABORATORIAIS</t>
  </si>
  <si>
    <t>LETRA CAIXA EM CHAPA GALVANIZADA PINTADA COM TINTA AUTOMOTIVA, 30CM INSTALAÇÃO</t>
  </si>
  <si>
    <t>03.199.999/0001-38</t>
  </si>
  <si>
    <t>3624-2644</t>
  </si>
  <si>
    <t>IMAGINARIO MIDIA VISUAL</t>
  </si>
  <si>
    <t>Viveiro Mato Grosso</t>
  </si>
  <si>
    <t>Maxuel</t>
  </si>
  <si>
    <t>Viveiro America</t>
  </si>
  <si>
    <t>BANCO EM ESTRUTURA METÁLICA, METALON 50X50, CHAPA 14 COM PINTURA ESMALTE</t>
  </si>
  <si>
    <t>INCENDIO BOTOEIRA LIGA DESLIGA PARA BOMBA</t>
  </si>
  <si>
    <t>DIRCEU</t>
  </si>
  <si>
    <t>65 3025-4300</t>
  </si>
  <si>
    <t>02/2017</t>
  </si>
  <si>
    <t>BRANEL Comércio de Materiais Eletricos LTDA</t>
  </si>
  <si>
    <t>65 3027-9004</t>
  </si>
  <si>
    <t>DAMBROS Eletrica e Ferragens LTDA - ME</t>
  </si>
  <si>
    <t>65 3661-7232</t>
  </si>
  <si>
    <t>CABO DE COBRE ISOLADO EM EPR FLEXÍVEL 120MM² - 0,6KV/1KV/90°</t>
  </si>
  <si>
    <t>CABO DE COBRE ISOLADO EM EPR FLEXÍVEL 35MM² - 0,6KV/1KV/90°</t>
  </si>
  <si>
    <t>CABO DE COBRE ISOLADO EM EPR FLEXÍVEL 70MM² - 0,6KV/1KV/90°</t>
  </si>
  <si>
    <t>REFERÊNCIA DAS COMPOSIÇÕES PRÓPRIAS</t>
  </si>
  <si>
    <t>Código</t>
  </si>
  <si>
    <t xml:space="preserve"> SDC02002 </t>
  </si>
  <si>
    <t>Referência</t>
  </si>
  <si>
    <t>Descrição</t>
  </si>
  <si>
    <t>ORSE 1083</t>
  </si>
  <si>
    <t>Tipo</t>
  </si>
  <si>
    <t>INHI - INSTALAÇÕES HIDROS SANITÁRIAS</t>
  </si>
  <si>
    <t>Unidade</t>
  </si>
  <si>
    <t xml:space="preserve"> SDC02003 </t>
  </si>
  <si>
    <t>ORSE 1085</t>
  </si>
  <si>
    <t xml:space="preserve"> SDC02004 </t>
  </si>
  <si>
    <t>SEINFRA C3586</t>
  </si>
  <si>
    <t xml:space="preserve"> SDC02005 </t>
  </si>
  <si>
    <t>SAOP CO1004</t>
  </si>
  <si>
    <t xml:space="preserve"> SDC02006 </t>
  </si>
  <si>
    <t>ORSE 1583</t>
  </si>
  <si>
    <t xml:space="preserve"> SDC02007 </t>
  </si>
  <si>
    <t>SAOP CO1005</t>
  </si>
  <si>
    <t xml:space="preserve"> SDC02008 </t>
  </si>
  <si>
    <t xml:space="preserve"> SDC02017 </t>
  </si>
  <si>
    <t>ORSE 1075</t>
  </si>
  <si>
    <t xml:space="preserve"> SDC02026 </t>
  </si>
  <si>
    <t>ORSE 1090</t>
  </si>
  <si>
    <t xml:space="preserve"> SDC01002 </t>
  </si>
  <si>
    <t>SINAPI - I34493</t>
  </si>
  <si>
    <t>FUES - FUNDAÇÕES E ESTRUTURAS</t>
  </si>
  <si>
    <t xml:space="preserve"> SDC01004 </t>
  </si>
  <si>
    <t xml:space="preserve"> SDC01006 </t>
  </si>
  <si>
    <t xml:space="preserve"> SDC01008 </t>
  </si>
  <si>
    <t xml:space="preserve"> SDC01010 </t>
  </si>
  <si>
    <t xml:space="preserve"> SDC01013 </t>
  </si>
  <si>
    <t xml:space="preserve"> SDC01014 </t>
  </si>
  <si>
    <t>REVE - REVESTIMENTO E TRATAMENTO DE SUPERFÍCIES</t>
  </si>
  <si>
    <t xml:space="preserve"> SDC01016 </t>
  </si>
  <si>
    <t xml:space="preserve"> SDC01017 </t>
  </si>
  <si>
    <t xml:space="preserve"> SDC01018 </t>
  </si>
  <si>
    <t>SIURB-SP 15512</t>
  </si>
  <si>
    <t xml:space="preserve"> SDC01019 </t>
  </si>
  <si>
    <t>PINT - PINTURAS</t>
  </si>
  <si>
    <t xml:space="preserve"> SDC01021 </t>
  </si>
  <si>
    <t>COTAÇÃO DE MERCADO</t>
  </si>
  <si>
    <t>MOVT - MOVIMENTO DE TERRA</t>
  </si>
  <si>
    <t xml:space="preserve"> SDC01022 </t>
  </si>
  <si>
    <t>ESQV - ESQUADRIAS/FERRAGENS/VIDROS</t>
  </si>
  <si>
    <t xml:space="preserve"> SDC01024 </t>
  </si>
  <si>
    <t>SEDI - SERVIÇOS DIVERSOS</t>
  </si>
  <si>
    <t xml:space="preserve"> SDC01025 </t>
  </si>
  <si>
    <t xml:space="preserve"> SDC01029 </t>
  </si>
  <si>
    <t xml:space="preserve"> SDC01030 </t>
  </si>
  <si>
    <t xml:space="preserve"> SDC01034 </t>
  </si>
  <si>
    <t>COBE- COBERTURA</t>
  </si>
  <si>
    <t xml:space="preserve"> SDC01035 </t>
  </si>
  <si>
    <t>SINAPI 73994/001</t>
  </si>
  <si>
    <t xml:space="preserve"> SDC01036 </t>
  </si>
  <si>
    <t>SINAPI 92846</t>
  </si>
  <si>
    <t>ASTU - ASSENTAMENTO DE TUBOS E PECAS</t>
  </si>
  <si>
    <t xml:space="preserve"> SDC03001 </t>
  </si>
  <si>
    <t xml:space="preserve"> SDC03003 </t>
  </si>
  <si>
    <t xml:space="preserve"> SDC03004 </t>
  </si>
  <si>
    <t>INEL - INSTALAÇÃO ELÉTRICA/ELETRIFICAÇÃO E ILUMINAÇÃO EXTERNA</t>
  </si>
  <si>
    <t xml:space="preserve"> SDC03007 </t>
  </si>
  <si>
    <t xml:space="preserve"> SDC03008 </t>
  </si>
  <si>
    <t xml:space="preserve"> SDC03009 </t>
  </si>
  <si>
    <t>CPOS 40.02.040</t>
  </si>
  <si>
    <t xml:space="preserve"> SDC03011 </t>
  </si>
  <si>
    <t>ORSE 10765</t>
  </si>
  <si>
    <t xml:space="preserve"> SDC03012 </t>
  </si>
  <si>
    <t xml:space="preserve"> SDC03013 </t>
  </si>
  <si>
    <t xml:space="preserve"> SDC03014 </t>
  </si>
  <si>
    <t>SUDECAP 11.92.38</t>
  </si>
  <si>
    <t xml:space="preserve"> SDC03015 </t>
  </si>
  <si>
    <t>ORSE 9831</t>
  </si>
  <si>
    <t xml:space="preserve"> SDC03016 </t>
  </si>
  <si>
    <t xml:space="preserve"> SDC03017 </t>
  </si>
  <si>
    <t>ORSE 9051</t>
  </si>
  <si>
    <t xml:space="preserve"> SDC03125 </t>
  </si>
  <si>
    <t>LUMINÁRIA EM LED MODULAR PARA ILUMINAÇÃO PÚBLICA, 150W</t>
  </si>
  <si>
    <t>SDC03126</t>
  </si>
  <si>
    <t xml:space="preserve"> SDC03046 </t>
  </si>
  <si>
    <t>SIURB 91194</t>
  </si>
  <si>
    <t xml:space="preserve"> SDC01045 </t>
  </si>
  <si>
    <t>ORSE 2279</t>
  </si>
  <si>
    <t xml:space="preserve"> SDC01050 </t>
  </si>
  <si>
    <t xml:space="preserve"> SDC02031 </t>
  </si>
  <si>
    <t>ORSE 4273</t>
  </si>
  <si>
    <t xml:space="preserve"> SDC02032 </t>
  </si>
  <si>
    <t xml:space="preserve"> SDC02033 </t>
  </si>
  <si>
    <t xml:space="preserve"> SDC02034 </t>
  </si>
  <si>
    <t xml:space="preserve"> SDC02036 </t>
  </si>
  <si>
    <t xml:space="preserve"> SDC02039 </t>
  </si>
  <si>
    <t xml:space="preserve"> SDC02040 </t>
  </si>
  <si>
    <t xml:space="preserve"> SDC02041 </t>
  </si>
  <si>
    <t>COTOVELO FERRO GALV 90G ROSCA MACHO/FEMEA 2"</t>
  </si>
  <si>
    <t>SAOP CO0607</t>
  </si>
  <si>
    <t xml:space="preserve"> SDC02043 </t>
  </si>
  <si>
    <t>ORSE 4964</t>
  </si>
  <si>
    <t xml:space="preserve"> SDC02044 </t>
  </si>
  <si>
    <t>ORSE 1082</t>
  </si>
  <si>
    <t xml:space="preserve"> SDC02045 </t>
  </si>
  <si>
    <t>ORSE 1089</t>
  </si>
  <si>
    <t xml:space="preserve"> SDC02103</t>
  </si>
  <si>
    <t>BANCADA PARA COZINHA EM AÇO INOX NAS DIMENSÕES 3,26X0,80M COM 01 CUBA EM AÇO INOX DE DIMENSÕES 0,80 X 0,60 X 0,50,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</si>
  <si>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 xml:space="preserve"> SDC02056 </t>
  </si>
  <si>
    <t xml:space="preserve"> SDC02057 </t>
  </si>
  <si>
    <t xml:space="preserve"> SDC01076 </t>
  </si>
  <si>
    <t>URBA - URBANIZAÇÃO</t>
  </si>
  <si>
    <t xml:space="preserve"> SDC02088 </t>
  </si>
  <si>
    <t>SEINFRA C0691</t>
  </si>
  <si>
    <t xml:space="preserve"> SDC02094 </t>
  </si>
  <si>
    <t xml:space="preserve"> SDC02096 </t>
  </si>
  <si>
    <t xml:space="preserve"> SDC02064 </t>
  </si>
  <si>
    <t>FOSSA SÉPTICA EM ALVENARIA - TIJOLO COMUM MACIÇO, DIMENSOES 475 X 240 X 180 CM (20,52M3)</t>
  </si>
  <si>
    <t xml:space="preserve"> SDC02071 </t>
  </si>
  <si>
    <t xml:space="preserve"> SDC02079 </t>
  </si>
  <si>
    <t xml:space="preserve"> SDC01089 </t>
  </si>
  <si>
    <t>PARE - PAREDES/PAINEIS</t>
  </si>
  <si>
    <t xml:space="preserve"> SDC01096 </t>
  </si>
  <si>
    <t>SINAPI 84161</t>
  </si>
  <si>
    <t>PISO - PISOS</t>
  </si>
  <si>
    <t xml:space="preserve"> SDC04001 </t>
  </si>
  <si>
    <t xml:space="preserve"> SDC04002 </t>
  </si>
  <si>
    <t xml:space="preserve"> SDC04003 </t>
  </si>
  <si>
    <t xml:space="preserve"> SDC04004 </t>
  </si>
  <si>
    <t xml:space="preserve"> SDC04005 </t>
  </si>
  <si>
    <t xml:space="preserve"> SDC04007 </t>
  </si>
  <si>
    <t xml:space="preserve"> SDC04009 </t>
  </si>
  <si>
    <t>SETOP ACE-BAR-005</t>
  </si>
  <si>
    <t xml:space="preserve"> SDC04010 </t>
  </si>
  <si>
    <t xml:space="preserve"> SDC04011 </t>
  </si>
  <si>
    <t xml:space="preserve"> SDC04012 </t>
  </si>
  <si>
    <t>CPOS-SP 04.08.080</t>
  </si>
  <si>
    <t xml:space="preserve"> SDC04015 </t>
  </si>
  <si>
    <t xml:space="preserve"> SDC04020 </t>
  </si>
  <si>
    <t xml:space="preserve"> SDC04021 </t>
  </si>
  <si>
    <t xml:space="preserve"> SDC04022 </t>
  </si>
  <si>
    <t xml:space="preserve"> SDC04023 </t>
  </si>
  <si>
    <t xml:space="preserve"> SDC04024 </t>
  </si>
  <si>
    <t xml:space="preserve"> SDC04027 </t>
  </si>
  <si>
    <t xml:space="preserve"> SDC04028 </t>
  </si>
  <si>
    <t xml:space="preserve"> SDC04029 </t>
  </si>
  <si>
    <t>FORNECIMENTO E INSTALAÇÃO DE REGISTRO PARA GÁS 3/4</t>
  </si>
  <si>
    <t>SETOP GAS-REG-010</t>
  </si>
  <si>
    <t>INES - INSTALAÇÕES ESPECIAIS</t>
  </si>
  <si>
    <t xml:space="preserve"> SDC04031 </t>
  </si>
  <si>
    <t xml:space="preserve"> SDC04034 </t>
  </si>
  <si>
    <t xml:space="preserve"> SDC04060 </t>
  </si>
  <si>
    <t xml:space="preserve"> SDC03055 </t>
  </si>
  <si>
    <t xml:space="preserve"> SDC03056 </t>
  </si>
  <si>
    <t>ORSE 10903</t>
  </si>
  <si>
    <t xml:space="preserve"> SDC03057 </t>
  </si>
  <si>
    <t xml:space="preserve"> SDC03058 </t>
  </si>
  <si>
    <t xml:space="preserve"> SDC03062 </t>
  </si>
  <si>
    <t>CABO DE COBRE ISOLADO EM EPR FLEXÍVEL 10MM2 - 0,6KV/1KV/90°</t>
  </si>
  <si>
    <t xml:space="preserve"> SDC07041 </t>
  </si>
  <si>
    <t xml:space="preserve"> SDC05003 </t>
  </si>
  <si>
    <t>ORSE 4656</t>
  </si>
  <si>
    <t>CANT - CANTEIRO DE OBRAS</t>
  </si>
  <si>
    <t xml:space="preserve"> SDC05004 </t>
  </si>
  <si>
    <t>SEINFRA - C1622</t>
  </si>
  <si>
    <t xml:space="preserve"> SDC07001 </t>
  </si>
  <si>
    <t xml:space="preserve"> SDC07002 </t>
  </si>
  <si>
    <t xml:space="preserve"> SDC07003 </t>
  </si>
  <si>
    <t xml:space="preserve"> SDC07004 </t>
  </si>
  <si>
    <t xml:space="preserve"> SDC07005 </t>
  </si>
  <si>
    <t xml:space="preserve"> SDC07006 </t>
  </si>
  <si>
    <t xml:space="preserve"> SDC07007 </t>
  </si>
  <si>
    <t xml:space="preserve"> SDC07008 </t>
  </si>
  <si>
    <t xml:space="preserve"> SDC04044 </t>
  </si>
  <si>
    <t>FORNECIMENTO E INSTALAÇÃO DE BIBICLETARIO METALICO, CONFORME PROJETO PADRÃO SEDUC</t>
  </si>
  <si>
    <t xml:space="preserve"> SDC01027 </t>
  </si>
  <si>
    <t>SEDOP 090822</t>
  </si>
  <si>
    <t xml:space="preserve"> SDC01028 </t>
  </si>
  <si>
    <t xml:space="preserve"> SDC01031 </t>
  </si>
  <si>
    <t xml:space="preserve"> SDC06001 </t>
  </si>
  <si>
    <t xml:space="preserve"> SDC02104</t>
  </si>
  <si>
    <t xml:space="preserve"> SDC04067</t>
  </si>
  <si>
    <t>SBC 200061</t>
  </si>
  <si>
    <t xml:space="preserve"> SDC01003 </t>
  </si>
  <si>
    <t>FORNECIMENTO E INSTALAÇÃO DE PEITORIL EM GRANITO ANDORINHA, ASSENTADO COM ARGAMASSA TRACO 1:3 (CIMENTO E AREIA MEDIA), PREPARO MANUAL DA ARGAMASSA</t>
  </si>
  <si>
    <t>SINAPI 84089</t>
  </si>
  <si>
    <t xml:space="preserve"> SDC02019 </t>
  </si>
  <si>
    <t>ORSE 1077</t>
  </si>
  <si>
    <t xml:space="preserve"> SDC02029</t>
  </si>
  <si>
    <t xml:space="preserve"> SDC02037 </t>
  </si>
  <si>
    <t>ASSENTAMENTO E FORNECIMENTO DE TAMPAO DE FERRO FUNDIDO 600 MM</t>
  </si>
  <si>
    <t>SINAPI 73607</t>
  </si>
  <si>
    <t xml:space="preserve"> SDC01095</t>
  </si>
  <si>
    <t>SINAPI 94560</t>
  </si>
  <si>
    <t xml:space="preserve"> SDC02050</t>
  </si>
  <si>
    <t>ORSE 4283</t>
  </si>
  <si>
    <t xml:space="preserve"> SDC02102</t>
  </si>
  <si>
    <t xml:space="preserve"> SDC03005 </t>
  </si>
  <si>
    <t xml:space="preserve"> SDC03010 </t>
  </si>
  <si>
    <t xml:space="preserve"> SDC03018</t>
  </si>
  <si>
    <t xml:space="preserve"> SDC03021</t>
  </si>
  <si>
    <t>ELETRODUTODE FERRO ZINCADO LEVE 1" X 3M</t>
  </si>
  <si>
    <t>SEINFRA C 1181</t>
  </si>
  <si>
    <t xml:space="preserve"> SDC03022</t>
  </si>
  <si>
    <t>SEDOP 171339</t>
  </si>
  <si>
    <t xml:space="preserve"> SDC03023</t>
  </si>
  <si>
    <t>SEDOP 171345</t>
  </si>
  <si>
    <t xml:space="preserve"> SDC03024</t>
  </si>
  <si>
    <t xml:space="preserve"> SDC03031</t>
  </si>
  <si>
    <t>ORSE 8072</t>
  </si>
  <si>
    <t xml:space="preserve"> SDC03063 </t>
  </si>
  <si>
    <t>CABO DE COBRE ISOLADO EM EPR FLEXÍVEL 16MM2 - 0,6KV/1KV/90°</t>
  </si>
  <si>
    <t>ORSE 9204</t>
  </si>
  <si>
    <t xml:space="preserve"> SDC03064 </t>
  </si>
  <si>
    <t>CABO DE COBRE ISOLADO EM EPR FLEXÍVEL 25MM2 - 0,6KV/1KV/90°</t>
  </si>
  <si>
    <t>ORSE 8070</t>
  </si>
  <si>
    <t xml:space="preserve"> SDC03065 </t>
  </si>
  <si>
    <t>CABO DE COBRE ISOLADO EM EPR FLEXÍVEL 35MM2 - 0,6KV/1KV/90°</t>
  </si>
  <si>
    <t>ORSE 7916</t>
  </si>
  <si>
    <t xml:space="preserve"> SDC03067 </t>
  </si>
  <si>
    <t>CABO DE COBRE ISOLADO EM EPR FLEXÍVEL 70MM2 - 0,6KV/1KV/90°</t>
  </si>
  <si>
    <t>ORSE 8071</t>
  </si>
  <si>
    <t xml:space="preserve"> SDC03069</t>
  </si>
  <si>
    <t>SEINFRA C1179</t>
  </si>
  <si>
    <t xml:space="preserve"> SDC03070</t>
  </si>
  <si>
    <t>SEDOP 171409</t>
  </si>
  <si>
    <t xml:space="preserve"> SDC03120</t>
  </si>
  <si>
    <t xml:space="preserve"> SDC03121</t>
  </si>
  <si>
    <t xml:space="preserve"> SDC03123</t>
  </si>
  <si>
    <t xml:space="preserve"> SDC03128</t>
  </si>
  <si>
    <t xml:space="preserve"> SDC04033 </t>
  </si>
  <si>
    <t xml:space="preserve"> SDC04049 </t>
  </si>
  <si>
    <t>SEINFRA C1803</t>
  </si>
  <si>
    <t xml:space="preserve"> SDC04061</t>
  </si>
  <si>
    <t xml:space="preserve"> SDC04062</t>
  </si>
  <si>
    <t xml:space="preserve"> SDC07010</t>
  </si>
  <si>
    <t>FORNECIMENTO DE CHAVE PARA CONEXÃO DE MANGUEIRA TIPO STORZ ENGATE RÁPIDO DUPLA  1.1/2" X 2.1/2"</t>
  </si>
  <si>
    <t>SETOP-MG / INC-CHA-005</t>
  </si>
  <si>
    <t xml:space="preserve"> SDC07011</t>
  </si>
  <si>
    <t>ORSE 10786</t>
  </si>
  <si>
    <t xml:space="preserve"> SDC07015 </t>
  </si>
  <si>
    <t xml:space="preserve"> SDC07017 </t>
  </si>
  <si>
    <t>FORNECIMENTO E INSTALAÇÃO DE ADAPTADOR STORZ PARA ENGATE RAPIDO 2.1/2 X 2.1/2 COM TAMPÃO E CORRENTE</t>
  </si>
  <si>
    <t>ORSE 1510</t>
  </si>
  <si>
    <t xml:space="preserve"> SDC07040</t>
  </si>
  <si>
    <t>COMPOSIÇÕES ANALÍTICAS COM PREÇO UNITÁRIO</t>
  </si>
  <si>
    <t>Banco</t>
  </si>
  <si>
    <t>Un.</t>
  </si>
  <si>
    <t>Valor Unit (R$)</t>
  </si>
  <si>
    <t>Valor Total (R$)</t>
  </si>
  <si>
    <t xml:space="preserve"> SDC06007 </t>
  </si>
  <si>
    <t>Próprio</t>
  </si>
  <si>
    <t>ADMINISTRAÇÃO LOCAL DE OBRA</t>
  </si>
  <si>
    <t>SERT - SERVIÇOS TÉCNICOS</t>
  </si>
  <si>
    <t>28.166,27</t>
  </si>
  <si>
    <t xml:space="preserve"> 90777 </t>
  </si>
  <si>
    <t>180,0</t>
  </si>
  <si>
    <t>70,04</t>
  </si>
  <si>
    <t xml:space="preserve"> 94295 </t>
  </si>
  <si>
    <t>MES</t>
  </si>
  <si>
    <t>1,0</t>
  </si>
  <si>
    <t>4.971,34</t>
  </si>
  <si>
    <t xml:space="preserve"> 88326 </t>
  </si>
  <si>
    <t>360,0</t>
  </si>
  <si>
    <t>15,54</t>
  </si>
  <si>
    <t>120,0</t>
  </si>
  <si>
    <t>12,14</t>
  </si>
  <si>
    <t xml:space="preserve"> 93572 </t>
  </si>
  <si>
    <t>3.536,53</t>
  </si>
  <si>
    <t>Valor Unit</t>
  </si>
  <si>
    <t>27,41</t>
  </si>
  <si>
    <t xml:space="preserve"> 00006081 </t>
  </si>
  <si>
    <t>ARGILA OU BARRO PARA ATERRO/REATERRO (COM TRANSPORTE ATE 10 KM)</t>
  </si>
  <si>
    <t>643,75</t>
  </si>
  <si>
    <t xml:space="preserve"> 00010779 </t>
  </si>
  <si>
    <t>LOCACAO DE CONTAINER 2,30 X 4,30 M, ALT. 2,50 M, P/ SANITARIO, C/ 5 BACIAS, 1 LAVATORIO E 4 MICTORIOS</t>
  </si>
  <si>
    <t>Equipamento</t>
  </si>
  <si>
    <t>1.409,13</t>
  </si>
  <si>
    <t xml:space="preserve"> 88248 </t>
  </si>
  <si>
    <t>4,0</t>
  </si>
  <si>
    <t>14,25</t>
  </si>
  <si>
    <t xml:space="preserve"> 88267 </t>
  </si>
  <si>
    <t>8,0</t>
  </si>
  <si>
    <t>17,48</t>
  </si>
  <si>
    <t xml:space="preserve"> 88309 </t>
  </si>
  <si>
    <t>17,08</t>
  </si>
  <si>
    <t xml:space="preserve"> 88316 </t>
  </si>
  <si>
    <t>8,12</t>
  </si>
  <si>
    <t>13,88</t>
  </si>
  <si>
    <t xml:space="preserve"> 88262 </t>
  </si>
  <si>
    <t>16,98</t>
  </si>
  <si>
    <t xml:space="preserve"> 00020247 </t>
  </si>
  <si>
    <t>PREGO DE ACO POLIDO COM CABECA 15 X 15 (1 1/4 X 13)</t>
  </si>
  <si>
    <t>8,88</t>
  </si>
  <si>
    <t xml:space="preserve"> 00009836 </t>
  </si>
  <si>
    <t>TUBO PVC  SERIE NORMAL, DN 100 MM, PARA ESGOTO  PREDIAL (NBR 5688)</t>
  </si>
  <si>
    <t>5,0</t>
  </si>
  <si>
    <t>8,82</t>
  </si>
  <si>
    <t xml:space="preserve"> 00000370 </t>
  </si>
  <si>
    <t>0,0189</t>
  </si>
  <si>
    <t>62,75</t>
  </si>
  <si>
    <t xml:space="preserve"> 00012774 </t>
  </si>
  <si>
    <t>113,95</t>
  </si>
  <si>
    <t xml:space="preserve"> 00006189 </t>
  </si>
  <si>
    <t>6,26</t>
  </si>
  <si>
    <t xml:space="preserve"> 00009868 </t>
  </si>
  <si>
    <t>30,0</t>
  </si>
  <si>
    <t>2,99</t>
  </si>
  <si>
    <t xml:space="preserve"> 00004425 </t>
  </si>
  <si>
    <t>25,0</t>
  </si>
  <si>
    <t>9,70</t>
  </si>
  <si>
    <t xml:space="preserve"> 00007258 </t>
  </si>
  <si>
    <t>0,30</t>
  </si>
  <si>
    <t xml:space="preserve"> 00034636 </t>
  </si>
  <si>
    <t>267,90</t>
  </si>
  <si>
    <t>10,96</t>
  </si>
  <si>
    <t xml:space="preserve"> 88238 </t>
  </si>
  <si>
    <t>0,0285</t>
  </si>
  <si>
    <t>13,90</t>
  </si>
  <si>
    <t xml:space="preserve"> 88245 </t>
  </si>
  <si>
    <t>0,1743</t>
  </si>
  <si>
    <t xml:space="preserve"> 92791 </t>
  </si>
  <si>
    <t>7,29</t>
  </si>
  <si>
    <t xml:space="preserve"> 00000337 </t>
  </si>
  <si>
    <t>0,025</t>
  </si>
  <si>
    <t>7,95</t>
  </si>
  <si>
    <t xml:space="preserve"> 00039017 </t>
  </si>
  <si>
    <t>ESPACADOR / DISTANCIADOR CIRCULAR COM ENTRADA LATERAL, EM PLASTICO, PARA VERGALHAO *4,2 A 12,5* MM, COBRIMENTO 20 MM</t>
  </si>
  <si>
    <t>1,19</t>
  </si>
  <si>
    <t>0,12</t>
  </si>
  <si>
    <t>9,96</t>
  </si>
  <si>
    <t>0,0218</t>
  </si>
  <si>
    <t>0,133</t>
  </si>
  <si>
    <t xml:space="preserve"> 92792 </t>
  </si>
  <si>
    <t>7,11</t>
  </si>
  <si>
    <t>0,97</t>
  </si>
  <si>
    <t>9,41</t>
  </si>
  <si>
    <t>0,0162</t>
  </si>
  <si>
    <t>0,0993</t>
  </si>
  <si>
    <t xml:space="preserve"> 92793 </t>
  </si>
  <si>
    <t>CORTE E DOBRA DE AÇO CA-50, DIÂMETRO DE 8.0 MM, UTILIZADO EM ESTRUTURAS DIVERSAS, EXCETO LAJES. AF_12/2015</t>
  </si>
  <si>
    <t>7,24</t>
  </si>
  <si>
    <t>0,743</t>
  </si>
  <si>
    <t>7,55</t>
  </si>
  <si>
    <t>0,0121</t>
  </si>
  <si>
    <t>0,0743</t>
  </si>
  <si>
    <t xml:space="preserve"> 92794 </t>
  </si>
  <si>
    <t>5,94</t>
  </si>
  <si>
    <t>6,28</t>
  </si>
  <si>
    <t>0,0089</t>
  </si>
  <si>
    <t>0,0542</t>
  </si>
  <si>
    <t xml:space="preserve"> 92795 </t>
  </si>
  <si>
    <t>CORTE E DOBRA DE AÇO CA-50, DIÂMETRO DE 12.5 MM, UTILIZADO EM ESTRUTURAS DIVERSAS, EXCETO LAJES. AF_12/2015</t>
  </si>
  <si>
    <t>5,01</t>
  </si>
  <si>
    <t>0,367</t>
  </si>
  <si>
    <t>294,68</t>
  </si>
  <si>
    <t xml:space="preserve"> 00034493 </t>
  </si>
  <si>
    <t>75,16</t>
  </si>
  <si>
    <t>0,19</t>
  </si>
  <si>
    <t>0,35</t>
  </si>
  <si>
    <t>0,85</t>
  </si>
  <si>
    <t xml:space="preserve"> 92874 </t>
  </si>
  <si>
    <t>0,061</t>
  </si>
  <si>
    <t>23,67</t>
  </si>
  <si>
    <t xml:space="preserve"> 00000231 </t>
  </si>
  <si>
    <t>28,00</t>
  </si>
  <si>
    <t xml:space="preserve"> 00004491 </t>
  </si>
  <si>
    <t>1,1</t>
  </si>
  <si>
    <t>4,32</t>
  </si>
  <si>
    <t xml:space="preserve"> 00005075 </t>
  </si>
  <si>
    <t>PREGO DE ACO POLIDO COM CABECA 18 X 30 (2 3/4 X 10)</t>
  </si>
  <si>
    <t>0,02</t>
  </si>
  <si>
    <t>8,02</t>
  </si>
  <si>
    <t>0,3</t>
  </si>
  <si>
    <t>87,38</t>
  </si>
  <si>
    <t>2,0</t>
  </si>
  <si>
    <t xml:space="preserve"> 00004718 </t>
  </si>
  <si>
    <t>1,2</t>
  </si>
  <si>
    <t>49,70</t>
  </si>
  <si>
    <t>6,89</t>
  </si>
  <si>
    <t xml:space="preserve"> 88315 </t>
  </si>
  <si>
    <t>16,30</t>
  </si>
  <si>
    <t xml:space="preserve"> 88251 </t>
  </si>
  <si>
    <t>13,41</t>
  </si>
  <si>
    <t xml:space="preserve"> 88310 </t>
  </si>
  <si>
    <t>0,003</t>
  </si>
  <si>
    <t>17,02</t>
  </si>
  <si>
    <t xml:space="preserve"> 88240 </t>
  </si>
  <si>
    <t>0,04</t>
  </si>
  <si>
    <t>8,80</t>
  </si>
  <si>
    <t xml:space="preserve"> 88317 </t>
  </si>
  <si>
    <t xml:space="preserve"> 00000179 </t>
  </si>
  <si>
    <t>0,525</t>
  </si>
  <si>
    <t>4,88</t>
  </si>
  <si>
    <t xml:space="preserve"> 00000549 </t>
  </si>
  <si>
    <t>BARRA DE FERRO RETANGULAR, BARRA CHATA, 2" X 1/2" (L X E), 5,06 KG/M</t>
  </si>
  <si>
    <t>0,1037</t>
  </si>
  <si>
    <t>23,68</t>
  </si>
  <si>
    <t xml:space="preserve"> 00007307 </t>
  </si>
  <si>
    <t>0,0025</t>
  </si>
  <si>
    <t>18,98</t>
  </si>
  <si>
    <t xml:space="preserve"> 00010997 </t>
  </si>
  <si>
    <t>0,013</t>
  </si>
  <si>
    <t>12,04</t>
  </si>
  <si>
    <t xml:space="preserve"> 00005318 </t>
  </si>
  <si>
    <t>0,0003</t>
  </si>
  <si>
    <t>10,62</t>
  </si>
  <si>
    <t>1,64</t>
  </si>
  <si>
    <t xml:space="preserve"> 88278 </t>
  </si>
  <si>
    <t>11,24</t>
  </si>
  <si>
    <t>0,06</t>
  </si>
  <si>
    <t xml:space="preserve"> 00003372 </t>
  </si>
  <si>
    <t>!EM PROCESSO DE DESATIVACAO! GUINDASTE ALTOPROPELIDO SOBRE PNEUS, COM LANCA TELESCOPICA, CAPACIDADE DE *10* T (LOCACAO COM OPERADOR, COMBUSTIVEL E MANUTENCAO)</t>
  </si>
  <si>
    <t>0,01</t>
  </si>
  <si>
    <t>90,00</t>
  </si>
  <si>
    <t>COBE - COBERTURA</t>
  </si>
  <si>
    <t>38,36</t>
  </si>
  <si>
    <t>0,096</t>
  </si>
  <si>
    <t xml:space="preserve"> 88323 </t>
  </si>
  <si>
    <t>0,091</t>
  </si>
  <si>
    <t>15,30</t>
  </si>
  <si>
    <t xml:space="preserve"> 93287 </t>
  </si>
  <si>
    <t>CHOR - CUSTOS HORÁRIOS DE MÁQUINAS E EQUIPAMENTOS</t>
  </si>
  <si>
    <t>0,0007</t>
  </si>
  <si>
    <t>263,45</t>
  </si>
  <si>
    <t xml:space="preserve"> 93288 </t>
  </si>
  <si>
    <t>0,001</t>
  </si>
  <si>
    <t>98,53</t>
  </si>
  <si>
    <t xml:space="preserve"> 00025007 </t>
  </si>
  <si>
    <t>1,16</t>
  </si>
  <si>
    <t>26,53</t>
  </si>
  <si>
    <t xml:space="preserve"> 00011029 </t>
  </si>
  <si>
    <t>4,15</t>
  </si>
  <si>
    <t>1,11</t>
  </si>
  <si>
    <t>798,94</t>
  </si>
  <si>
    <t>3,46</t>
  </si>
  <si>
    <t>1,73</t>
  </si>
  <si>
    <t xml:space="preserve"> 88629 </t>
  </si>
  <si>
    <t>397,36</t>
  </si>
  <si>
    <t xml:space="preserve"> 00000195 </t>
  </si>
  <si>
    <t>700,00</t>
  </si>
  <si>
    <t>1.583,93</t>
  </si>
  <si>
    <t>3,78</t>
  </si>
  <si>
    <t>0,09</t>
  </si>
  <si>
    <t xml:space="preserve"> 72118 </t>
  </si>
  <si>
    <t>VIDRO TEMPERADO INCOLOR, ESPESSURA 6MM, FORNECIMENTO E INSTALACAO, INCLUSIVE MASSA PARA VEDACAO</t>
  </si>
  <si>
    <t>0,56</t>
  </si>
  <si>
    <t>145,08</t>
  </si>
  <si>
    <t xml:space="preserve"> 00000194 </t>
  </si>
  <si>
    <t>1.350,00</t>
  </si>
  <si>
    <t>172,36</t>
  </si>
  <si>
    <t>0,5</t>
  </si>
  <si>
    <t xml:space="preserve"> 00000075 </t>
  </si>
  <si>
    <t>156,90</t>
  </si>
  <si>
    <t>3.243,19</t>
  </si>
  <si>
    <t xml:space="preserve"> 88325 </t>
  </si>
  <si>
    <t>0,6</t>
  </si>
  <si>
    <t>15,31</t>
  </si>
  <si>
    <t xml:space="preserve"> 00003104 </t>
  </si>
  <si>
    <t>338,11</t>
  </si>
  <si>
    <t xml:space="preserve"> 00010507 </t>
  </si>
  <si>
    <t>4,2</t>
  </si>
  <si>
    <t>203,40</t>
  </si>
  <si>
    <t xml:space="preserve"> 00011523 </t>
  </si>
  <si>
    <t>PUXADOR CONCHA DE EMBUTIR, EM LATAO CROMADO, PARA PORTA / JANELA DE CORRER, LISO, SEM FURO PARA CHAVE, COM FUROS PARA FIXAR PARAFUSOS, *30 X 90* MM CR</t>
  </si>
  <si>
    <t>11,85</t>
  </si>
  <si>
    <t xml:space="preserve"> 00011499 </t>
  </si>
  <si>
    <t>1.008,96</t>
  </si>
  <si>
    <t>1.790,65</t>
  </si>
  <si>
    <t>2,1</t>
  </si>
  <si>
    <t>1.125,72</t>
  </si>
  <si>
    <t>3,36</t>
  </si>
  <si>
    <t>0,08</t>
  </si>
  <si>
    <t xml:space="preserve"> 00000193 </t>
  </si>
  <si>
    <t>990,00</t>
  </si>
  <si>
    <t>770,82</t>
  </si>
  <si>
    <t>2,2</t>
  </si>
  <si>
    <t>4,5</t>
  </si>
  <si>
    <t xml:space="preserve"> 00034360 </t>
  </si>
  <si>
    <t>42,55</t>
  </si>
  <si>
    <t xml:space="preserve"> 00034391 </t>
  </si>
  <si>
    <t>526,52</t>
  </si>
  <si>
    <t>165,08</t>
  </si>
  <si>
    <t xml:space="preserve"> 88256 </t>
  </si>
  <si>
    <t>1,29</t>
  </si>
  <si>
    <t>15,89</t>
  </si>
  <si>
    <t>0,65</t>
  </si>
  <si>
    <t xml:space="preserve"> 00036881 </t>
  </si>
  <si>
    <t>PASTILHA CERAMICA/PORCELANA, REVEST INT/EXT E  PISCINA, CORES FRIAS *5 X 5* CM</t>
  </si>
  <si>
    <t>100,38</t>
  </si>
  <si>
    <t xml:space="preserve"> 00037596 </t>
  </si>
  <si>
    <t>7,69</t>
  </si>
  <si>
    <t>2,49</t>
  </si>
  <si>
    <t>10,65</t>
  </si>
  <si>
    <t xml:space="preserve"> 88274 </t>
  </si>
  <si>
    <t>0,4</t>
  </si>
  <si>
    <t>16,29</t>
  </si>
  <si>
    <t>0,2</t>
  </si>
  <si>
    <t xml:space="preserve"> 87373 </t>
  </si>
  <si>
    <t>458,57</t>
  </si>
  <si>
    <t>13,05</t>
  </si>
  <si>
    <t>0,25</t>
  </si>
  <si>
    <t xml:space="preserve"> 00003767 </t>
  </si>
  <si>
    <t>0,69</t>
  </si>
  <si>
    <t xml:space="preserve"> 00004052 </t>
  </si>
  <si>
    <t>MASSA ACRILICA</t>
  </si>
  <si>
    <t>18L</t>
  </si>
  <si>
    <t>0,028</t>
  </si>
  <si>
    <t>123,06</t>
  </si>
  <si>
    <t>12,45</t>
  </si>
  <si>
    <t xml:space="preserve"> 88243 </t>
  </si>
  <si>
    <t>0,18</t>
  </si>
  <si>
    <t>14,61</t>
  </si>
  <si>
    <t xml:space="preserve"> 00006091 </t>
  </si>
  <si>
    <t>0,48</t>
  </si>
  <si>
    <t>11,97</t>
  </si>
  <si>
    <t>50,55</t>
  </si>
  <si>
    <t>0,75</t>
  </si>
  <si>
    <t xml:space="preserve"> 00037395 </t>
  </si>
  <si>
    <t>CENTO</t>
  </si>
  <si>
    <t>0,005</t>
  </si>
  <si>
    <t>46,06</t>
  </si>
  <si>
    <t xml:space="preserve"> 00000345 </t>
  </si>
  <si>
    <t>14,41</t>
  </si>
  <si>
    <t xml:space="preserve"> 00005065 </t>
  </si>
  <si>
    <t>15,26</t>
  </si>
  <si>
    <t xml:space="preserve"> 00005061 </t>
  </si>
  <si>
    <t>7,89</t>
  </si>
  <si>
    <t xml:space="preserve"> 00004415 </t>
  </si>
  <si>
    <t>1,8</t>
  </si>
  <si>
    <t>2,21</t>
  </si>
  <si>
    <t xml:space="preserve"> 00020206 </t>
  </si>
  <si>
    <t>0,9</t>
  </si>
  <si>
    <t>2,51</t>
  </si>
  <si>
    <t xml:space="preserve"> 00036246 </t>
  </si>
  <si>
    <t>ACABAMENTO SIMPLES/CONVENCIONAL PARA FORRO PVC, TIPO "U" OU "C", COR BRANCA, COMPRIMENTO 6 M</t>
  </si>
  <si>
    <t>2,27</t>
  </si>
  <si>
    <t xml:space="preserve"> 00036230 </t>
  </si>
  <si>
    <t>568,23</t>
  </si>
  <si>
    <t>4,8</t>
  </si>
  <si>
    <t>2,3</t>
  </si>
  <si>
    <t xml:space="preserve"> 88631 </t>
  </si>
  <si>
    <t>0,0033</t>
  </si>
  <si>
    <t>363,18</t>
  </si>
  <si>
    <t xml:space="preserve"> 00001380 </t>
  </si>
  <si>
    <t>0,7</t>
  </si>
  <si>
    <t>2,80</t>
  </si>
  <si>
    <t xml:space="preserve"> 00000126 </t>
  </si>
  <si>
    <t>455,00</t>
  </si>
  <si>
    <t>140,00</t>
  </si>
  <si>
    <t xml:space="preserve"> 00000186 </t>
  </si>
  <si>
    <t>3.545,00</t>
  </si>
  <si>
    <t xml:space="preserve"> 00000168 </t>
  </si>
  <si>
    <t>171,52</t>
  </si>
  <si>
    <t>1,6</t>
  </si>
  <si>
    <t>1,25</t>
  </si>
  <si>
    <t xml:space="preserve"> 00001106 </t>
  </si>
  <si>
    <t>2,73</t>
  </si>
  <si>
    <t>0,50</t>
  </si>
  <si>
    <t>0,0182</t>
  </si>
  <si>
    <t xml:space="preserve"> 00001379 </t>
  </si>
  <si>
    <t>2,8</t>
  </si>
  <si>
    <t>0,47</t>
  </si>
  <si>
    <t xml:space="preserve"> 00000185 </t>
  </si>
  <si>
    <t>17,6</t>
  </si>
  <si>
    <t>7,10</t>
  </si>
  <si>
    <t>431,13</t>
  </si>
  <si>
    <t xml:space="preserve"> 00038186 </t>
  </si>
  <si>
    <t>1,05</t>
  </si>
  <si>
    <t>380,66</t>
  </si>
  <si>
    <t xml:space="preserve"> 00034353 </t>
  </si>
  <si>
    <t xml:space="preserve"> 00034357 </t>
  </si>
  <si>
    <t>0,52</t>
  </si>
  <si>
    <t>3,53</t>
  </si>
  <si>
    <t>1.706,36</t>
  </si>
  <si>
    <t xml:space="preserve"> 88239 </t>
  </si>
  <si>
    <t>3,5</t>
  </si>
  <si>
    <t>13,92</t>
  </si>
  <si>
    <t>2,34</t>
  </si>
  <si>
    <t>1,91</t>
  </si>
  <si>
    <t>12,5</t>
  </si>
  <si>
    <t>7,28</t>
  </si>
  <si>
    <t xml:space="preserve"> 00001347 </t>
  </si>
  <si>
    <t>3,3</t>
  </si>
  <si>
    <t>26,14</t>
  </si>
  <si>
    <t xml:space="preserve"> 00000034 </t>
  </si>
  <si>
    <t>33,5</t>
  </si>
  <si>
    <t>3,54</t>
  </si>
  <si>
    <t xml:space="preserve"> 00004460 </t>
  </si>
  <si>
    <t>2,25</t>
  </si>
  <si>
    <t>4,58</t>
  </si>
  <si>
    <t xml:space="preserve"> 00021015 </t>
  </si>
  <si>
    <t>TUBO ACO GALVANIZADO COM COSTURA, CLASSE LEVE, DN 80 MM ( 3"),  E = 3,35 MM, *7,32* KG/M (NBR 5580)</t>
  </si>
  <si>
    <t>10,5</t>
  </si>
  <si>
    <t>40,07</t>
  </si>
  <si>
    <t>0,45</t>
  </si>
  <si>
    <t xml:space="preserve"> 00002692 </t>
  </si>
  <si>
    <t>5,90</t>
  </si>
  <si>
    <t xml:space="preserve"> 00013284 </t>
  </si>
  <si>
    <t>112,0</t>
  </si>
  <si>
    <t>0,40</t>
  </si>
  <si>
    <t xml:space="preserve"> 00004721 </t>
  </si>
  <si>
    <t>0,16</t>
  </si>
  <si>
    <t xml:space="preserve"> 00000367 </t>
  </si>
  <si>
    <t>50,00</t>
  </si>
  <si>
    <t xml:space="preserve"> 00003768 </t>
  </si>
  <si>
    <t>2,91</t>
  </si>
  <si>
    <t xml:space="preserve"> 00007288 </t>
  </si>
  <si>
    <t>20,70</t>
  </si>
  <si>
    <t xml:space="preserve"> 00004720 </t>
  </si>
  <si>
    <t>0,38</t>
  </si>
  <si>
    <t>63,46</t>
  </si>
  <si>
    <t xml:space="preserve"> 00007701 </t>
  </si>
  <si>
    <t>11,0</t>
  </si>
  <si>
    <t>40,87</t>
  </si>
  <si>
    <t>0,59</t>
  </si>
  <si>
    <t>1.500,00</t>
  </si>
  <si>
    <t xml:space="preserve"> 00000148 </t>
  </si>
  <si>
    <t>QUADRO DE VIDRO TEMPERADO 6MM 4X1,1M</t>
  </si>
  <si>
    <t>321,10</t>
  </si>
  <si>
    <t>2,4</t>
  </si>
  <si>
    <t>0,022</t>
  </si>
  <si>
    <t xml:space="preserve"> 00011795 </t>
  </si>
  <si>
    <t>GRANITO PARA BANCADA, POLIDO, TIPO ANDORINHA/ QUARTZ/ CASTELO/ CORUMBA OU OUTROS EQUIVALENTES DA REGIAO, E=  *2,5* CM</t>
  </si>
  <si>
    <t>240,00</t>
  </si>
  <si>
    <t>248,83</t>
  </si>
  <si>
    <t xml:space="preserve"> 87331 </t>
  </si>
  <si>
    <t>353,49</t>
  </si>
  <si>
    <t>3.800,00</t>
  </si>
  <si>
    <t xml:space="preserve"> 00000144 </t>
  </si>
  <si>
    <t>TOTEM EM CONCRETO ARMADO DE ACORDO COM MODELO DA SEDUC, DIMENSÕES 260X110X15CM, INCLUSIVE PLACA EM AÇO INOX</t>
  </si>
  <si>
    <t>1.400,00</t>
  </si>
  <si>
    <t xml:space="preserve"> 00000248 </t>
  </si>
  <si>
    <t>212,77</t>
  </si>
  <si>
    <t xml:space="preserve"> 00036081 </t>
  </si>
  <si>
    <t>181,83</t>
  </si>
  <si>
    <t>2.250,00</t>
  </si>
  <si>
    <t xml:space="preserve"> 00000189 </t>
  </si>
  <si>
    <t>180,00</t>
  </si>
  <si>
    <t xml:space="preserve"> 00000162 </t>
  </si>
  <si>
    <t>LETRA CAIXA EM CHAPA GALVANIZADA PINTADA COM TINTA AUTOMOTIVA, 30CM INSTALADO</t>
  </si>
  <si>
    <t>298,56</t>
  </si>
  <si>
    <t xml:space="preserve"> 00000190 </t>
  </si>
  <si>
    <t>280,00</t>
  </si>
  <si>
    <t>6.900,00</t>
  </si>
  <si>
    <t xml:space="preserve"> 00000054 </t>
  </si>
  <si>
    <t>KIT PLAYGROUND, METALICO, CONTENDO: GIRA-GIRA 7 LUGARES; BALANÇO 4 LUGARES; ESCORREGADOR GRANDE; GANGORRA DUPLA E CASINHA CONJUGADA</t>
  </si>
  <si>
    <t xml:space="preserve"> SDC01095 </t>
  </si>
  <si>
    <t>324,69</t>
  </si>
  <si>
    <t>1,697</t>
  </si>
  <si>
    <t>0,848</t>
  </si>
  <si>
    <t xml:space="preserve"> 00000281 </t>
  </si>
  <si>
    <t>EXECUÇÃO DE ESCOVÓDROMO (BEBEDOURO) EM ALVENARIA. INSTALAÇÕES DE ÁGUA E ESGOTO ENCONTRAM-SE NO ITEM INSTALAÇÕES HIDRO-SANITÁRIAS</t>
  </si>
  <si>
    <t>6.756,83</t>
  </si>
  <si>
    <t xml:space="preserve"> 87523 </t>
  </si>
  <si>
    <t>8,14</t>
  </si>
  <si>
    <t>79,06</t>
  </si>
  <si>
    <t xml:space="preserve"> 87242 </t>
  </si>
  <si>
    <t>11,72</t>
  </si>
  <si>
    <t xml:space="preserve"> 87879 </t>
  </si>
  <si>
    <t>2,56</t>
  </si>
  <si>
    <t xml:space="preserve"> 92775 </t>
  </si>
  <si>
    <t>1,01</t>
  </si>
  <si>
    <t>11,94</t>
  </si>
  <si>
    <t xml:space="preserve"> 87536 </t>
  </si>
  <si>
    <t>EMBOÇO, PARA RECEBIMENTO DE CERÂMICA, EM ARGAMASSA TRAÇO 1:2:8, PREPARO MANUAL, APLICADO MANUALMENTE EM FACES INTERNAS DE PAREDES, PARA AMBIENTE COM ÁREA  MAIOR QUE 10M2, ESPESSURA DE 20MM, COM EXECUÇÃO DE TALISCAS. AF_06/2014</t>
  </si>
  <si>
    <t>22,74</t>
  </si>
  <si>
    <t xml:space="preserve"> 00000137 </t>
  </si>
  <si>
    <t>3.870,00</t>
  </si>
  <si>
    <t>249,05</t>
  </si>
  <si>
    <t xml:space="preserve"> 93358 </t>
  </si>
  <si>
    <t>54,86</t>
  </si>
  <si>
    <t xml:space="preserve"> 89473 </t>
  </si>
  <si>
    <t>ALVENARIA DE BLOCOS DE CONCRETO ESTRUTURAL 14X19X39 CM, (ESPESSURA 14 CM) FBK = 14,0 MPA, PARA PAREDES COM ÁREA LÍQUIDA MAIOR OU IGUAL A 6M², SEM VÃOS, UTILIZANDO COLHER DE PEDREIRO. AF_12/2014</t>
  </si>
  <si>
    <t>74,68</t>
  </si>
  <si>
    <t xml:space="preserve"> 94963 </t>
  </si>
  <si>
    <t>CONCRETO FCK = 15MPA, TRAÇO 1:3,4:3,5 (CIMENTO/ AREIA MÉDIA/ BRITA 1)  - PREPARO MECÂNICO COM BETONEIRA 400 L. AF_07/2016</t>
  </si>
  <si>
    <t>0,11</t>
  </si>
  <si>
    <t>270,59</t>
  </si>
  <si>
    <t xml:space="preserve"> 92873 </t>
  </si>
  <si>
    <t>143,28</t>
  </si>
  <si>
    <t xml:space="preserve"> 89996 </t>
  </si>
  <si>
    <t>2,53</t>
  </si>
  <si>
    <t>5,22</t>
  </si>
  <si>
    <t xml:space="preserve"> 73674 </t>
  </si>
  <si>
    <t>0,32</t>
  </si>
  <si>
    <t>21,00</t>
  </si>
  <si>
    <t>GRADE E PORTÃO DE FERRO PADRÃO ESCOLA COM MURETA DE ALVENARIA H:0,40M E GRADIL EM BARRA CHATA COM 1,80M DE ALTURA, TOTALIZANDO  2,20M DE ALTURA</t>
  </si>
  <si>
    <t>588,66</t>
  </si>
  <si>
    <t xml:space="preserve"> 74007/001 </t>
  </si>
  <si>
    <t>0,064</t>
  </si>
  <si>
    <t>21,74</t>
  </si>
  <si>
    <t xml:space="preserve"> 83534 </t>
  </si>
  <si>
    <t>455,48</t>
  </si>
  <si>
    <t xml:space="preserve"> 94975 </t>
  </si>
  <si>
    <t>CONCRETO FCK = 15MPA, TRAÇO 1:3,4:3,5 (CIMENTO/ AREIA MÉDIA/ BRITA 1)  - PREPARO MANUAL. AF_07/2016</t>
  </si>
  <si>
    <t>0,0184</t>
  </si>
  <si>
    <t>352,09</t>
  </si>
  <si>
    <t xml:space="preserve"> 92917 </t>
  </si>
  <si>
    <t>ARMAÇÃO DE ESTRUTURAS DE CONCRETO ARMADO, EXCETO VIGAS, PILARES, LAJES E FUNDAÇÕES PROFUNDAS (DE EDIFÍCIOS DE MÚLTIPLOS PAVIMENTOS, EDIFICAÇÃO TÉRREA OU SOBRADO), UTILIZANDO AÇO CA-50 DE 8.0 MM - MONTAGEM. AF_12/2015</t>
  </si>
  <si>
    <t xml:space="preserve"> 87515 </t>
  </si>
  <si>
    <t>90,40</t>
  </si>
  <si>
    <t xml:space="preserve"> 89173 </t>
  </si>
  <si>
    <t>0,8</t>
  </si>
  <si>
    <t>23,09</t>
  </si>
  <si>
    <t xml:space="preserve"> 87904 </t>
  </si>
  <si>
    <t>CHAPISCO APLICADO EM ALVENARIA (COM PRESENÇA DE VÃOS) E ESTRUTURAS DE CONCRETO DE FACHADA, COM COLHER DE PEDREIRO.  ARGAMASSA TRAÇO 1:3 COM PREPARO MANUAL. AF_06/2014</t>
  </si>
  <si>
    <t>6,02</t>
  </si>
  <si>
    <t xml:space="preserve"> 73932/001 </t>
  </si>
  <si>
    <t>256,99</t>
  </si>
  <si>
    <t>0,0036</t>
  </si>
  <si>
    <t>1,12</t>
  </si>
  <si>
    <t>2.523,48</t>
  </si>
  <si>
    <t>3,252</t>
  </si>
  <si>
    <t>1,626</t>
  </si>
  <si>
    <t>0,027</t>
  </si>
  <si>
    <t xml:space="preserve"> 84190 </t>
  </si>
  <si>
    <t>155,88</t>
  </si>
  <si>
    <t xml:space="preserve"> 00000157 </t>
  </si>
  <si>
    <t>2.310,00</t>
  </si>
  <si>
    <t>233,66</t>
  </si>
  <si>
    <t xml:space="preserve"> 88264 </t>
  </si>
  <si>
    <t>17,68</t>
  </si>
  <si>
    <t xml:space="preserve"> 00000138 </t>
  </si>
  <si>
    <t>188,24</t>
  </si>
  <si>
    <t xml:space="preserve"> SDC04061 </t>
  </si>
  <si>
    <t>FORNECIMENTO E PLANTIO DE PERIQUITÃO</t>
  </si>
  <si>
    <t>3,44</t>
  </si>
  <si>
    <t xml:space="preserve"> 00007253 </t>
  </si>
  <si>
    <t>62,14</t>
  </si>
  <si>
    <t xml:space="preserve"> 00000252 </t>
  </si>
  <si>
    <t>3,00</t>
  </si>
  <si>
    <t xml:space="preserve"> 00025951 </t>
  </si>
  <si>
    <t>1,34</t>
  </si>
  <si>
    <t xml:space="preserve"> 00025963 </t>
  </si>
  <si>
    <t>0,07</t>
  </si>
  <si>
    <t xml:space="preserve"> SDC04062 </t>
  </si>
  <si>
    <t>54,17</t>
  </si>
  <si>
    <t xml:space="preserve"> 88441 </t>
  </si>
  <si>
    <t>0,032</t>
  </si>
  <si>
    <t>0,074</t>
  </si>
  <si>
    <t xml:space="preserve"> 00000253 </t>
  </si>
  <si>
    <t>45,00</t>
  </si>
  <si>
    <t xml:space="preserve"> SDC04067 </t>
  </si>
  <si>
    <t>373,49</t>
  </si>
  <si>
    <t>1,914</t>
  </si>
  <si>
    <t>2,232</t>
  </si>
  <si>
    <t>2,209</t>
  </si>
  <si>
    <t xml:space="preserve"> 00003989 </t>
  </si>
  <si>
    <t>MADEIRA SERRADA APARELHADA DE MACARANDUBA, ANGELIM OU EQUIVALENTE DA REGIAO</t>
  </si>
  <si>
    <t>1.149,42</t>
  </si>
  <si>
    <t xml:space="preserve"> 00000284 </t>
  </si>
  <si>
    <t>3.298,47</t>
  </si>
  <si>
    <t>5,38</t>
  </si>
  <si>
    <t xml:space="preserve"> 89171 </t>
  </si>
  <si>
    <t>1,44</t>
  </si>
  <si>
    <t>26,13</t>
  </si>
  <si>
    <t xml:space="preserve"> 89170 </t>
  </si>
  <si>
    <t>5,04</t>
  </si>
  <si>
    <t>47,04</t>
  </si>
  <si>
    <t>10,76</t>
  </si>
  <si>
    <t xml:space="preserve"> 74141/002 </t>
  </si>
  <si>
    <t>2,65</t>
  </si>
  <si>
    <t>82,77</t>
  </si>
  <si>
    <t xml:space="preserve"> 68333 </t>
  </si>
  <si>
    <t>39,96</t>
  </si>
  <si>
    <t xml:space="preserve"> 94779 </t>
  </si>
  <si>
    <t>29,85</t>
  </si>
  <si>
    <t xml:space="preserve"> 74238/002 </t>
  </si>
  <si>
    <t>2,59</t>
  </si>
  <si>
    <t>771,07</t>
  </si>
  <si>
    <t xml:space="preserve"> 89709 </t>
  </si>
  <si>
    <t>RALO SIFONADO, PVC, DN 100 X 40 MM, JUNTA SOLDÁVEL, FORNECIDO E INSTALADO EM RAMAL DE DESCARGA OU EM RAMAL DE ESGOTO SANITÁRIO. AF_12/2014</t>
  </si>
  <si>
    <t>7,41</t>
  </si>
  <si>
    <t>11,36</t>
  </si>
  <si>
    <t>0,14</t>
  </si>
  <si>
    <t xml:space="preserve"> 00000122 </t>
  </si>
  <si>
    <t>0,014</t>
  </si>
  <si>
    <t>45,16</t>
  </si>
  <si>
    <t xml:space="preserve"> 00000818 </t>
  </si>
  <si>
    <t>5,57</t>
  </si>
  <si>
    <t xml:space="preserve"> 00020083 </t>
  </si>
  <si>
    <t>39,22</t>
  </si>
  <si>
    <t>20,92</t>
  </si>
  <si>
    <t>0,037</t>
  </si>
  <si>
    <t xml:space="preserve"> 00000830 </t>
  </si>
  <si>
    <t>BUCHA DE REDUCAO DE PVC, SOLDAVEL, CURTA, COM 85 X 75 MM, PARA AGUA FRIA PREDIAL</t>
  </si>
  <si>
    <t>11,11</t>
  </si>
  <si>
    <t>0,056</t>
  </si>
  <si>
    <t>13,21</t>
  </si>
  <si>
    <t>0,24</t>
  </si>
  <si>
    <t xml:space="preserve"> 00000813 </t>
  </si>
  <si>
    <t>BUCHA DE REDUCAO DE PVC, SOLDAVEL, LONGA, COM 50 X 25 MM, PARA AGUA FRIA PREDIAL</t>
  </si>
  <si>
    <t>3,77</t>
  </si>
  <si>
    <t>0,046</t>
  </si>
  <si>
    <t>17,46</t>
  </si>
  <si>
    <t>0,004</t>
  </si>
  <si>
    <t xml:space="preserve"> 00000816 </t>
  </si>
  <si>
    <t>7,06</t>
  </si>
  <si>
    <t>25,56</t>
  </si>
  <si>
    <t>0,31</t>
  </si>
  <si>
    <t>0,007</t>
  </si>
  <si>
    <t>0,078</t>
  </si>
  <si>
    <t xml:space="preserve"> 00000821 </t>
  </si>
  <si>
    <t>12,50</t>
  </si>
  <si>
    <t>30,88</t>
  </si>
  <si>
    <t>0,33</t>
  </si>
  <si>
    <t>0,077</t>
  </si>
  <si>
    <t xml:space="preserve"> 00000817 </t>
  </si>
  <si>
    <t>17,09</t>
  </si>
  <si>
    <t>2,87</t>
  </si>
  <si>
    <t>0,045</t>
  </si>
  <si>
    <t xml:space="preserve"> 00001185 </t>
  </si>
  <si>
    <t xml:space="preserve"> SDC02068 </t>
  </si>
  <si>
    <t>8,32</t>
  </si>
  <si>
    <t xml:space="preserve"> 00003533 </t>
  </si>
  <si>
    <t>JOELHO DE REDUCAO, PVC SOLDAVEL, 90 GRAUS,  25 MM X 20 MM, PARA AGUA FRIA PREDIAL</t>
  </si>
  <si>
    <t>2,24</t>
  </si>
  <si>
    <t>12,07</t>
  </si>
  <si>
    <t>0,23</t>
  </si>
  <si>
    <t>0,042</t>
  </si>
  <si>
    <t xml:space="preserve"> 00000825 </t>
  </si>
  <si>
    <t>3,09</t>
  </si>
  <si>
    <t xml:space="preserve"> SDC02029 </t>
  </si>
  <si>
    <t>71,80</t>
  </si>
  <si>
    <t>0,144</t>
  </si>
  <si>
    <t>0,026</t>
  </si>
  <si>
    <t xml:space="preserve"> 00007133 </t>
  </si>
  <si>
    <t>64,74</t>
  </si>
  <si>
    <t>0,033</t>
  </si>
  <si>
    <t xml:space="preserve"> 00038383 </t>
  </si>
  <si>
    <t>0,036</t>
  </si>
  <si>
    <t>1,52</t>
  </si>
  <si>
    <t>12,60</t>
  </si>
  <si>
    <t>0,22</t>
  </si>
  <si>
    <t xml:space="preserve"> 00003148 </t>
  </si>
  <si>
    <t>0,0124</t>
  </si>
  <si>
    <t>10,29</t>
  </si>
  <si>
    <t xml:space="preserve"> 00003515 </t>
  </si>
  <si>
    <t>5,59</t>
  </si>
  <si>
    <t xml:space="preserve"> SDC02101 </t>
  </si>
  <si>
    <t>44.450,84</t>
  </si>
  <si>
    <t xml:space="preserve"> 94965 </t>
  </si>
  <si>
    <t>CONCRETO FCK = 25MPA, TRAÇO 1:2,3:2,7 (CIMENTO/ AREIA MÉDIA/ BRITA 1)  - PREPARO MECÂNICO COM BETONEIRA 400 L. AF_07/2016</t>
  </si>
  <si>
    <t>17,11</t>
  </si>
  <si>
    <t>300,66</t>
  </si>
  <si>
    <t xml:space="preserve"> 74157/004 </t>
  </si>
  <si>
    <t>91,28</t>
  </si>
  <si>
    <t xml:space="preserve"> 73964/006 </t>
  </si>
  <si>
    <t>7,8</t>
  </si>
  <si>
    <t>41,61</t>
  </si>
  <si>
    <t xml:space="preserve"> 5651 </t>
  </si>
  <si>
    <t>FORMA TABUA PARA CONCRETO EM FUNDACAO C/ REAPROVEITAMENTO 5X</t>
  </si>
  <si>
    <t>146,03</t>
  </si>
  <si>
    <t>26,63</t>
  </si>
  <si>
    <t>8,96</t>
  </si>
  <si>
    <t xml:space="preserve"> 89168 </t>
  </si>
  <si>
    <t>4,48</t>
  </si>
  <si>
    <t>57,72</t>
  </si>
  <si>
    <t xml:space="preserve"> 73665 </t>
  </si>
  <si>
    <t>ESCADA TIPO MARINHEIRO EM ACO CA-50 9,52MM INCLUSO PINTURA COM FUNDO ANTICORROSIVO TIPO ZARCAO</t>
  </si>
  <si>
    <t>52,13</t>
  </si>
  <si>
    <t xml:space="preserve"> 88485 </t>
  </si>
  <si>
    <t>1,56</t>
  </si>
  <si>
    <t xml:space="preserve"> 88489 </t>
  </si>
  <si>
    <t>10,43</t>
  </si>
  <si>
    <t>250,0</t>
  </si>
  <si>
    <t>535,14</t>
  </si>
  <si>
    <t>1395,25</t>
  </si>
  <si>
    <t>119,6</t>
  </si>
  <si>
    <t>4,84</t>
  </si>
  <si>
    <t xml:space="preserve"> 83338 </t>
  </si>
  <si>
    <t>ESCAVACAO MECANICA, A CEU ABERTO, EM MATERIAL DE 1A CATEGORIA, COM ESCAVADEIRA HIDRAULICA, CAPACIDADE DE 0,78 M3</t>
  </si>
  <si>
    <t>99,74</t>
  </si>
  <si>
    <t>2,39</t>
  </si>
  <si>
    <t xml:space="preserve"> 93382 </t>
  </si>
  <si>
    <t>REATERRO MANUAL DE VALAS COM COMPACTAÇÃO MECANIZADA. AF_04/2016</t>
  </si>
  <si>
    <t>45,58</t>
  </si>
  <si>
    <t>19,82</t>
  </si>
  <si>
    <t xml:space="preserve"> 74010/001 </t>
  </si>
  <si>
    <t>75,83</t>
  </si>
  <si>
    <t xml:space="preserve"> 95302 </t>
  </si>
  <si>
    <t>758,3</t>
  </si>
  <si>
    <t>1,20</t>
  </si>
  <si>
    <t xml:space="preserve"> 94097 </t>
  </si>
  <si>
    <t>33,81</t>
  </si>
  <si>
    <t>4,18</t>
  </si>
  <si>
    <t xml:space="preserve"> 94968 </t>
  </si>
  <si>
    <t>CONCRETO MAGRO PARA LASTRO, TRAÇO 1:4,5:4,5 (CIMENTO/ AREIA MÉDIA/ BRITA 1)  - PREPARO MECÂNICO COM BETONEIRA 600 L. AF_07/2016</t>
  </si>
  <si>
    <t>1,15</t>
  </si>
  <si>
    <t>243,32</t>
  </si>
  <si>
    <t xml:space="preserve"> 73929/004 </t>
  </si>
  <si>
    <t>IMPERMEABILIZACAO DE ESTRUTURAS ENTERRADAS COM CIMENTO CRISTALIZANTE E ADESIVO LIQUIDO, ATE 7M DE PROFUNDIDADE.</t>
  </si>
  <si>
    <t>IMPE - IMPERMEABILIZAÇÕES E PROTEÇÕES DIVERSAS</t>
  </si>
  <si>
    <t>60,6</t>
  </si>
  <si>
    <t>53,34</t>
  </si>
  <si>
    <t xml:space="preserve"> 92410 </t>
  </si>
  <si>
    <t>8,4</t>
  </si>
  <si>
    <t>85,40</t>
  </si>
  <si>
    <t xml:space="preserve"> 92270 </t>
  </si>
  <si>
    <t>FABRICAÇÃO DE FÔRMA PARA VIGAS, COM MADEIRA SERRADA, E = 25 MM. AF_12/2015</t>
  </si>
  <si>
    <t>14,82</t>
  </si>
  <si>
    <t>38,15</t>
  </si>
  <si>
    <t>1,58</t>
  </si>
  <si>
    <t>76,7</t>
  </si>
  <si>
    <t xml:space="preserve"> 92777 </t>
  </si>
  <si>
    <t>10,2</t>
  </si>
  <si>
    <t>9,97</t>
  </si>
  <si>
    <t xml:space="preserve"> 92778 </t>
  </si>
  <si>
    <t>45,2</t>
  </si>
  <si>
    <t xml:space="preserve"> 92510 </t>
  </si>
  <si>
    <t>MONTAGEM E DESMONTAGEM DE FÔRMA DE LAJE MACIÇA COM ÁREA MÉDIA MAIOR QUE 20 M², PÉ-DIREITO SIMPLES, EM CHAPA DE MADEIRA COMPENSADA RESINADA, 2 UTILIZAÇÕES. AF_12/2015</t>
  </si>
  <si>
    <t>13,9</t>
  </si>
  <si>
    <t>31,88</t>
  </si>
  <si>
    <t>1,06</t>
  </si>
  <si>
    <t xml:space="preserve"> 92786 </t>
  </si>
  <si>
    <t>ARMAÇÃO DE LAJE DE UMA ESTRUTURA CONVENCIONAL DE CONCRETO ARMADO EM UMA EDIFÍCAÇÃO TÉRREA OU SOBRADO UTILIZANDO AÇO CA-50 DE 8.0 MM - MONTAGEM. AF_12/2015_P</t>
  </si>
  <si>
    <t>195,0</t>
  </si>
  <si>
    <t>7,22</t>
  </si>
  <si>
    <t>303,67</t>
  </si>
  <si>
    <t xml:space="preserve"> 74145/001 </t>
  </si>
  <si>
    <t>36,4</t>
  </si>
  <si>
    <t>14,08</t>
  </si>
  <si>
    <t>18.240,65</t>
  </si>
  <si>
    <t>2,26</t>
  </si>
  <si>
    <t>31,46</t>
  </si>
  <si>
    <t>8,52</t>
  </si>
  <si>
    <t xml:space="preserve"> 00000235 </t>
  </si>
  <si>
    <t>16.900,00</t>
  </si>
  <si>
    <t>48,08</t>
  </si>
  <si>
    <t xml:space="preserve"> 00037401 </t>
  </si>
  <si>
    <t>37,84</t>
  </si>
  <si>
    <t>876,75</t>
  </si>
  <si>
    <t>0,05</t>
  </si>
  <si>
    <t xml:space="preserve"> 00006150 </t>
  </si>
  <si>
    <t>161,20</t>
  </si>
  <si>
    <t xml:space="preserve"> 00001750 </t>
  </si>
  <si>
    <t>426,94</t>
  </si>
  <si>
    <t>1.647,68</t>
  </si>
  <si>
    <t xml:space="preserve"> 00000116 </t>
  </si>
  <si>
    <t>CHUVEIRO E LAVA OLHOS DE EMERGÊNCIA EM AÇO GALVANIZADO COM ACIONAMENTO MANUAL DO CHUVEIRO E DO LAVA-OLHOS</t>
  </si>
  <si>
    <t>1.630,00</t>
  </si>
  <si>
    <t>4.622,86</t>
  </si>
  <si>
    <t xml:space="preserve"> 87495 </t>
  </si>
  <si>
    <t>ALVENARIA DE VEDAÇÃO DE BLOCOS CERÂMICOS FURADOS NA HORIZONTAL DE 9X19X19CM (ESPESSURA 9CM) DE PAREDES COM ÁREA LÍQUIDA MENOR QUE 6M² SEM VÃOS E ARGAMASSA DE ASSENTAMENTO COM PREPARO EM BETONEIRA. AF_06/2014</t>
  </si>
  <si>
    <t>58,93</t>
  </si>
  <si>
    <t xml:space="preserve"> 87878 </t>
  </si>
  <si>
    <t>CHAPISCO APLICADO EM ALVENARIAS E ESTRUTURAS DE CONCRETO INTERNAS, COM COLHER DE PEDREIRO.  ARGAMASSA TRAÇO 1:3 COM PREPARO MANUAL. AF_06/2014</t>
  </si>
  <si>
    <t>3,1</t>
  </si>
  <si>
    <t>2,92</t>
  </si>
  <si>
    <t xml:space="preserve"> 87528 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</si>
  <si>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</si>
  <si>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28,47</t>
  </si>
  <si>
    <t xml:space="preserve"> 87264 </t>
  </si>
  <si>
    <t>REVESTIMENTO CERÂMICO PARA PAREDES INTERNAS COM PLACAS TIPO GRÊS OU SEMI-GRÊS DE DIMENSÕES 20X20 CM APLICADAS EM AMBIENTES DE ÁREA MENOR QUE 5 M² NA ALTURA INTEIRA DAS PAREDES. AF_06/2014</t>
  </si>
  <si>
    <t>48,48</t>
  </si>
  <si>
    <t xml:space="preserve"> 86883 </t>
  </si>
  <si>
    <t>8,28</t>
  </si>
  <si>
    <t xml:space="preserve"> 86878 </t>
  </si>
  <si>
    <t xml:space="preserve"> 86912 </t>
  </si>
  <si>
    <t>39,90</t>
  </si>
  <si>
    <t xml:space="preserve"> 00000070 </t>
  </si>
  <si>
    <t>4.100,00</t>
  </si>
  <si>
    <t xml:space="preserve"> SDC02065 </t>
  </si>
  <si>
    <t>BANCADA PARA COZINHA EM AÇO INOX NAS DIMENSÕES 1,70X0,60M COM 01 CUBA EM AÇO INOX DE DIMENSÕES 0,50 X 0,45 X 0,35, INCLUSIVE TORNEIRA DE PRESSÃO PARA PIA LONGA DE PAREDE, SIFÃO PARA PIA E VÁLVULA DE ESCOAMENTO METÁLICA PARA PIA DE COZINHA, FIXADA SOBRE PAREDE DE ALVENARIA DE TIJOLO DE 1/2 VEZ ACABAMENTO EM AZULEJO CERAMICO ESMALTADO DE DIMENSÕES 150MM X 150MM COM REJUNTE DE COR BRANCO.</t>
  </si>
  <si>
    <t>2.677,64</t>
  </si>
  <si>
    <t xml:space="preserve"> 00000238 </t>
  </si>
  <si>
    <t>BANCADA EM AÇO INOX 1,70X0,6M COM 01 CUBA</t>
  </si>
  <si>
    <t xml:space="preserve"> SDC02054 </t>
  </si>
  <si>
    <t>3.587,64</t>
  </si>
  <si>
    <t xml:space="preserve"> 00000068 </t>
  </si>
  <si>
    <t>3.160,00</t>
  </si>
  <si>
    <t>TORNEIRA PRESSÃO USO GERAL (BEBEDOURO)</t>
  </si>
  <si>
    <t>161,38</t>
  </si>
  <si>
    <t>0,34</t>
  </si>
  <si>
    <t xml:space="preserve"> 00003146 </t>
  </si>
  <si>
    <t>2,79</t>
  </si>
  <si>
    <t xml:space="preserve"> 00036796 </t>
  </si>
  <si>
    <t>149,92</t>
  </si>
  <si>
    <t>386,70</t>
  </si>
  <si>
    <t xml:space="preserve"> 89043 </t>
  </si>
  <si>
    <t>1,08</t>
  </si>
  <si>
    <t>56,08</t>
  </si>
  <si>
    <t>2,16</t>
  </si>
  <si>
    <t xml:space="preserve"> 86914 </t>
  </si>
  <si>
    <t>36,18</t>
  </si>
  <si>
    <t xml:space="preserve"> 86879 </t>
  </si>
  <si>
    <t xml:space="preserve"> 00036790 </t>
  </si>
  <si>
    <t>TANQUE DUPLO EM MARMORE SINTETICO COM CUBA LISA E ESFREGADOR, *110 X 60* CM</t>
  </si>
  <si>
    <t>145,89</t>
  </si>
  <si>
    <t>668,14</t>
  </si>
  <si>
    <t xml:space="preserve"> 86884 </t>
  </si>
  <si>
    <t>6,21</t>
  </si>
  <si>
    <t xml:space="preserve"> 86904 </t>
  </si>
  <si>
    <t>97,66</t>
  </si>
  <si>
    <t>550,96</t>
  </si>
  <si>
    <t>1,75</t>
  </si>
  <si>
    <t>0,03</t>
  </si>
  <si>
    <t xml:space="preserve"> 00000219 </t>
  </si>
  <si>
    <t>496,02</t>
  </si>
  <si>
    <t>582,16</t>
  </si>
  <si>
    <t xml:space="preserve"> 88242 </t>
  </si>
  <si>
    <t>13,64</t>
  </si>
  <si>
    <t xml:space="preserve"> 00000013 </t>
  </si>
  <si>
    <t>15,38</t>
  </si>
  <si>
    <t xml:space="preserve"> 00000229 </t>
  </si>
  <si>
    <t>83,10</t>
  </si>
  <si>
    <t xml:space="preserve"> 00000055 </t>
  </si>
  <si>
    <t>471,32</t>
  </si>
  <si>
    <t>78,91</t>
  </si>
  <si>
    <t xml:space="preserve"> 00001370 </t>
  </si>
  <si>
    <t>70,06</t>
  </si>
  <si>
    <t>36,96</t>
  </si>
  <si>
    <t xml:space="preserve"> 00011712 </t>
  </si>
  <si>
    <t>21,10</t>
  </si>
  <si>
    <t>32,68</t>
  </si>
  <si>
    <t>0,46</t>
  </si>
  <si>
    <t xml:space="preserve"> 00000301 </t>
  </si>
  <si>
    <t>1,98</t>
  </si>
  <si>
    <t xml:space="preserve"> 00000296 </t>
  </si>
  <si>
    <t xml:space="preserve"> 00010908 </t>
  </si>
  <si>
    <t>JUNCAO DE REDUCAO INVERTIDA, PVC SOLDAVEL, 100 X 50 MM, SERIE NORMAL PARA ESGOTO PREDIAL</t>
  </si>
  <si>
    <t>14,34</t>
  </si>
  <si>
    <t xml:space="preserve"> 00020078 </t>
  </si>
  <si>
    <t>16,53</t>
  </si>
  <si>
    <t>25,39</t>
  </si>
  <si>
    <t>0,37</t>
  </si>
  <si>
    <t xml:space="preserve"> 00000297 </t>
  </si>
  <si>
    <t>1,57</t>
  </si>
  <si>
    <t xml:space="preserve"> 00003669 </t>
  </si>
  <si>
    <t>JUNCAO DE REDUCAO INVERTIDA, PVC SOLDAVEL, 75 X 50 MM, SERIE NORMAL PARA ESGOTO PREDIAL</t>
  </si>
  <si>
    <t>10,49</t>
  </si>
  <si>
    <t>12,58</t>
  </si>
  <si>
    <t>0,051</t>
  </si>
  <si>
    <t xml:space="preserve"> 00020043 </t>
  </si>
  <si>
    <t>1,88</t>
  </si>
  <si>
    <t>8,85</t>
  </si>
  <si>
    <t xml:space="preserve"> 00039319 </t>
  </si>
  <si>
    <t>5,42</t>
  </si>
  <si>
    <t>0,008</t>
  </si>
  <si>
    <t>13.545,03</t>
  </si>
  <si>
    <t>4,47</t>
  </si>
  <si>
    <t xml:space="preserve"> 94107 </t>
  </si>
  <si>
    <t>152,51</t>
  </si>
  <si>
    <t xml:space="preserve"> 94319 </t>
  </si>
  <si>
    <t>11,78</t>
  </si>
  <si>
    <t>29,30</t>
  </si>
  <si>
    <t>44,75</t>
  </si>
  <si>
    <t>31,48</t>
  </si>
  <si>
    <t xml:space="preserve"> 73994/001 </t>
  </si>
  <si>
    <t>42,47</t>
  </si>
  <si>
    <t>7,09</t>
  </si>
  <si>
    <t>107,6</t>
  </si>
  <si>
    <t>25,38</t>
  </si>
  <si>
    <t xml:space="preserve"> 83627 </t>
  </si>
  <si>
    <t>398,99</t>
  </si>
  <si>
    <t xml:space="preserve"> 83732 </t>
  </si>
  <si>
    <t>IMPERMEABILIZACAO DE SUPERFICIE COM ARGAMASSA DE CIMENTO E AREIA, TRACO 1:3, COM ADITIVO IMPERMEABILIZANTE, E=1,5 CM</t>
  </si>
  <si>
    <t>25,74</t>
  </si>
  <si>
    <t>28,02</t>
  </si>
  <si>
    <t xml:space="preserve"> 72132 </t>
  </si>
  <si>
    <t>21,7</t>
  </si>
  <si>
    <t>54,72</t>
  </si>
  <si>
    <t>6.686,10</t>
  </si>
  <si>
    <t xml:space="preserve"> 94110 </t>
  </si>
  <si>
    <t>6,25</t>
  </si>
  <si>
    <t>155,71</t>
  </si>
  <si>
    <t>12,27</t>
  </si>
  <si>
    <t>4,42</t>
  </si>
  <si>
    <t>9,42</t>
  </si>
  <si>
    <t>19,41</t>
  </si>
  <si>
    <t>3,14</t>
  </si>
  <si>
    <t>2,5</t>
  </si>
  <si>
    <t>1.240,03</t>
  </si>
  <si>
    <t xml:space="preserve"> 73873/002 </t>
  </si>
  <si>
    <t>INPR - INSTALAÇÕES DE PRODUÇÃO</t>
  </si>
  <si>
    <t>134,27</t>
  </si>
  <si>
    <t>6,24</t>
  </si>
  <si>
    <t xml:space="preserve"> 92268 </t>
  </si>
  <si>
    <t>3.914,84</t>
  </si>
  <si>
    <t>32,5</t>
  </si>
  <si>
    <t>24,37</t>
  </si>
  <si>
    <t xml:space="preserve"> 6087 </t>
  </si>
  <si>
    <t xml:space="preserve"> SDC02050 </t>
  </si>
  <si>
    <t>28,67</t>
  </si>
  <si>
    <t xml:space="preserve"> 00011708 </t>
  </si>
  <si>
    <t>RALO FOFO SEMIESFERICO, 100 MM, PARA LAJES/ CALHAS</t>
  </si>
  <si>
    <t>13,00</t>
  </si>
  <si>
    <t>8.290,36</t>
  </si>
  <si>
    <t>6,72</t>
  </si>
  <si>
    <t>13,44</t>
  </si>
  <si>
    <t>1,89</t>
  </si>
  <si>
    <t xml:space="preserve"> 94962 </t>
  </si>
  <si>
    <t>CONCRETO MAGRO PARA LASTRO, TRAÇO 1:4,5:4,5 (CIMENTO/ AREIA MÉDIA/ BRITA 1)  - PREPARO MECÂNICO COM BETONEIRA 400 L. AF_07/2016</t>
  </si>
  <si>
    <t>239,32</t>
  </si>
  <si>
    <t xml:space="preserve"> 85172 </t>
  </si>
  <si>
    <t>5,5</t>
  </si>
  <si>
    <t>98,09</t>
  </si>
  <si>
    <t xml:space="preserve"> 74100/001 </t>
  </si>
  <si>
    <t>366,72</t>
  </si>
  <si>
    <t xml:space="preserve"> 88484 </t>
  </si>
  <si>
    <t>1,83</t>
  </si>
  <si>
    <t xml:space="preserve"> 88488 </t>
  </si>
  <si>
    <t>11,68</t>
  </si>
  <si>
    <t xml:space="preserve"> 73924/002 </t>
  </si>
  <si>
    <t>25,72</t>
  </si>
  <si>
    <t>20,93</t>
  </si>
  <si>
    <t xml:space="preserve"> 92701 </t>
  </si>
  <si>
    <t>10,0</t>
  </si>
  <si>
    <t>21,36</t>
  </si>
  <si>
    <t xml:space="preserve"> 83370 </t>
  </si>
  <si>
    <t>170,58</t>
  </si>
  <si>
    <t>42,33</t>
  </si>
  <si>
    <t xml:space="preserve"> 00000145 </t>
  </si>
  <si>
    <t>941,00</t>
  </si>
  <si>
    <t>4,54</t>
  </si>
  <si>
    <t xml:space="preserve"> 88247 </t>
  </si>
  <si>
    <t>14,40</t>
  </si>
  <si>
    <t xml:space="preserve"> 00039128 </t>
  </si>
  <si>
    <t>0,94</t>
  </si>
  <si>
    <t>9,05</t>
  </si>
  <si>
    <t xml:space="preserve"> 00000083 </t>
  </si>
  <si>
    <t>1,02</t>
  </si>
  <si>
    <t>4,55</t>
  </si>
  <si>
    <t>12,01</t>
  </si>
  <si>
    <t xml:space="preserve"> 00000086 </t>
  </si>
  <si>
    <t>6,85</t>
  </si>
  <si>
    <t>15,90</t>
  </si>
  <si>
    <t>0,17</t>
  </si>
  <si>
    <t xml:space="preserve"> 00000089 </t>
  </si>
  <si>
    <t>10,35</t>
  </si>
  <si>
    <t>21,26</t>
  </si>
  <si>
    <t>0,21</t>
  </si>
  <si>
    <t xml:space="preserve"> 00000090 </t>
  </si>
  <si>
    <t>14,36</t>
  </si>
  <si>
    <t>38,99</t>
  </si>
  <si>
    <t xml:space="preserve"> 00000092 </t>
  </si>
  <si>
    <t>27,72</t>
  </si>
  <si>
    <t xml:space="preserve"> SDC03031 </t>
  </si>
  <si>
    <t>66,09</t>
  </si>
  <si>
    <t xml:space="preserve"> 00000273 </t>
  </si>
  <si>
    <t>50,57</t>
  </si>
  <si>
    <t>121,27</t>
  </si>
  <si>
    <t xml:space="preserve"> 00012232 </t>
  </si>
  <si>
    <t>LUMINARIA DE SOBREPOR EM CHAPA DE ACO PARA 2 LAMPADAS FLUORESCENTES DE *18* W, PERFIL COMERCIAL (NAO INCLUI REATOR E LAMPADAS)</t>
  </si>
  <si>
    <t>12,15</t>
  </si>
  <si>
    <t xml:space="preserve"> 00039387 </t>
  </si>
  <si>
    <t>LAMPADA LED TUBULAR BIVOLT 18/20 W, BASE G13</t>
  </si>
  <si>
    <t>41,16</t>
  </si>
  <si>
    <t>187,52</t>
  </si>
  <si>
    <t>1,14</t>
  </si>
  <si>
    <t xml:space="preserve"> 00000230 </t>
  </si>
  <si>
    <t>158,36</t>
  </si>
  <si>
    <t>1.288,03</t>
  </si>
  <si>
    <t xml:space="preserve"> 00000077 </t>
  </si>
  <si>
    <t xml:space="preserve"> 00000078 </t>
  </si>
  <si>
    <t xml:space="preserve"> 00000201 </t>
  </si>
  <si>
    <t>793,32</t>
  </si>
  <si>
    <t xml:space="preserve"> 00000074 </t>
  </si>
  <si>
    <t>BARRA CHATA, COBRE, 1. 1/4 X 1/4 - 449A</t>
  </si>
  <si>
    <t>5,16</t>
  </si>
  <si>
    <t>55,01</t>
  </si>
  <si>
    <t xml:space="preserve"> SDC03120 </t>
  </si>
  <si>
    <t>47,15</t>
  </si>
  <si>
    <t xml:space="preserve"> 00000254 </t>
  </si>
  <si>
    <t>22,27</t>
  </si>
  <si>
    <t xml:space="preserve"> SDC03121 </t>
  </si>
  <si>
    <t>84,29</t>
  </si>
  <si>
    <t xml:space="preserve"> 00000255 </t>
  </si>
  <si>
    <t>59,41</t>
  </si>
  <si>
    <t>73,83</t>
  </si>
  <si>
    <t xml:space="preserve"> 00000127 </t>
  </si>
  <si>
    <t>64,37</t>
  </si>
  <si>
    <t>8,18</t>
  </si>
  <si>
    <t xml:space="preserve"> 00000244 </t>
  </si>
  <si>
    <t>1,015</t>
  </si>
  <si>
    <t>1,92</t>
  </si>
  <si>
    <t>2.543,54</t>
  </si>
  <si>
    <t xml:space="preserve"> 00000164 </t>
  </si>
  <si>
    <t>2.512,00</t>
  </si>
  <si>
    <t xml:space="preserve"> SDC03128 </t>
  </si>
  <si>
    <t>1.327,34</t>
  </si>
  <si>
    <t xml:space="preserve"> 00000199 </t>
  </si>
  <si>
    <t>1.314,28</t>
  </si>
  <si>
    <t xml:space="preserve"> 00004331 </t>
  </si>
  <si>
    <t>1,80</t>
  </si>
  <si>
    <t xml:space="preserve"> SDC03018 </t>
  </si>
  <si>
    <t>29.634,55</t>
  </si>
  <si>
    <t>17,0</t>
  </si>
  <si>
    <t>16,0</t>
  </si>
  <si>
    <t>6,0</t>
  </si>
  <si>
    <t xml:space="preserve"> 89267 </t>
  </si>
  <si>
    <t>31,71</t>
  </si>
  <si>
    <t xml:space="preserve"> 92271 </t>
  </si>
  <si>
    <t>23,25</t>
  </si>
  <si>
    <t>0,88</t>
  </si>
  <si>
    <t>5,72</t>
  </si>
  <si>
    <t xml:space="preserve"> 72289 </t>
  </si>
  <si>
    <t>320,64</t>
  </si>
  <si>
    <t>4,05</t>
  </si>
  <si>
    <t xml:space="preserve"> 00000196 </t>
  </si>
  <si>
    <t>1.632,93</t>
  </si>
  <si>
    <t xml:space="preserve"> 00000430 </t>
  </si>
  <si>
    <t>2,88</t>
  </si>
  <si>
    <t xml:space="preserve"> 00000177 </t>
  </si>
  <si>
    <t>4,81</t>
  </si>
  <si>
    <t xml:space="preserve"> 00007581 </t>
  </si>
  <si>
    <t>1,90</t>
  </si>
  <si>
    <t xml:space="preserve"> 00000171 </t>
  </si>
  <si>
    <t xml:space="preserve"> 00000155 </t>
  </si>
  <si>
    <t>3,0</t>
  </si>
  <si>
    <t>44,00</t>
  </si>
  <si>
    <t xml:space="preserve"> 00000166 </t>
  </si>
  <si>
    <t>10,30</t>
  </si>
  <si>
    <t xml:space="preserve"> 00000150 </t>
  </si>
  <si>
    <t>10,18</t>
  </si>
  <si>
    <t xml:space="preserve"> 00000183 </t>
  </si>
  <si>
    <t>83,96</t>
  </si>
  <si>
    <t xml:space="preserve"> 00000141 </t>
  </si>
  <si>
    <t>19,81</t>
  </si>
  <si>
    <t xml:space="preserve"> 00000178 </t>
  </si>
  <si>
    <t>185,01</t>
  </si>
  <si>
    <t xml:space="preserve"> 00000121 </t>
  </si>
  <si>
    <t>96,49</t>
  </si>
  <si>
    <t xml:space="preserve"> 00000114 </t>
  </si>
  <si>
    <t xml:space="preserve"> 00000135 </t>
  </si>
  <si>
    <t xml:space="preserve"> 00000167 </t>
  </si>
  <si>
    <t>5,66</t>
  </si>
  <si>
    <t xml:space="preserve"> 00000209 </t>
  </si>
  <si>
    <t>34,96</t>
  </si>
  <si>
    <t xml:space="preserve"> 00000066 </t>
  </si>
  <si>
    <t xml:space="preserve"> 00000063 </t>
  </si>
  <si>
    <t>18,49</t>
  </si>
  <si>
    <t xml:space="preserve"> 00000200 </t>
  </si>
  <si>
    <t>11,32</t>
  </si>
  <si>
    <t xml:space="preserve"> 00000223 </t>
  </si>
  <si>
    <t>13.500,00</t>
  </si>
  <si>
    <t xml:space="preserve"> 00000104 </t>
  </si>
  <si>
    <t>1.271,09</t>
  </si>
  <si>
    <t xml:space="preserve"> 00002379 </t>
  </si>
  <si>
    <t>890,43</t>
  </si>
  <si>
    <t xml:space="preserve"> 00000342 </t>
  </si>
  <si>
    <t xml:space="preserve"> 00000432 </t>
  </si>
  <si>
    <t>PARAFUSO M16 EM ACO GALVANIZADO, COMPRIMENTO = 250 MM, DIAMETRO = 16 MM, ROSCA MAQUINA, CABECA QUADRADA</t>
  </si>
  <si>
    <t>4,22</t>
  </si>
  <si>
    <t xml:space="preserve"> 00000439 </t>
  </si>
  <si>
    <t>4,85</t>
  </si>
  <si>
    <t xml:space="preserve"> 00000433 </t>
  </si>
  <si>
    <t xml:space="preserve"> 00000059 </t>
  </si>
  <si>
    <t>6,56</t>
  </si>
  <si>
    <t xml:space="preserve"> 00000152 </t>
  </si>
  <si>
    <t>40,37</t>
  </si>
  <si>
    <t xml:space="preserve"> 00000863 </t>
  </si>
  <si>
    <t>14,63</t>
  </si>
  <si>
    <t xml:space="preserve"> 00000867 </t>
  </si>
  <si>
    <t>20,38</t>
  </si>
  <si>
    <t xml:space="preserve"> 00000207 </t>
  </si>
  <si>
    <t>9,22</t>
  </si>
  <si>
    <t xml:space="preserve"> 00003379 </t>
  </si>
  <si>
    <t>HASTE DE ATERRAMENTO EM ACO COM 3,00 M DE COMPRIMENTO E DN = 5/8", REVESTIDA COM BAIXA CAMADA DE COBRE, SEM CONECTOR</t>
  </si>
  <si>
    <t>27,57</t>
  </si>
  <si>
    <t xml:space="preserve"> 00000120 </t>
  </si>
  <si>
    <t>3,20</t>
  </si>
  <si>
    <t xml:space="preserve"> 00000100 </t>
  </si>
  <si>
    <t>12,0</t>
  </si>
  <si>
    <t>10,90</t>
  </si>
  <si>
    <t xml:space="preserve"> 00000119 </t>
  </si>
  <si>
    <t>12,23</t>
  </si>
  <si>
    <t xml:space="preserve"> 00000153 </t>
  </si>
  <si>
    <t>12,20</t>
  </si>
  <si>
    <t xml:space="preserve"> 00000110 </t>
  </si>
  <si>
    <t>37,00</t>
  </si>
  <si>
    <t xml:space="preserve"> 00000111 </t>
  </si>
  <si>
    <t xml:space="preserve"> 00002687 </t>
  </si>
  <si>
    <t>ELETRODUTO PVC FLEXIVEL CORRUGADO, COR AMARELA, DE 16 MM</t>
  </si>
  <si>
    <t>0,83</t>
  </si>
  <si>
    <t xml:space="preserve"> 00002673 </t>
  </si>
  <si>
    <t>1,65</t>
  </si>
  <si>
    <t xml:space="preserve"> 00000129 </t>
  </si>
  <si>
    <t>ELETRODUTO DE AÇO COM COSTURA GALVANIZADO A FOGO, DIAM. 4"</t>
  </si>
  <si>
    <t>184,37</t>
  </si>
  <si>
    <t xml:space="preserve"> 00039216 </t>
  </si>
  <si>
    <t>4,53</t>
  </si>
  <si>
    <t xml:space="preserve"> 00039182 </t>
  </si>
  <si>
    <t>5,60</t>
  </si>
  <si>
    <t xml:space="preserve"> 00001577 </t>
  </si>
  <si>
    <t xml:space="preserve"> 00011578 </t>
  </si>
  <si>
    <t>ROSETA QUADRADA, SEM FUROS, EM ACO INOX POLIDO, LARGURA APROXIMADA DE 50 MM, PARA FECHADURA DE PORTA - PARAFUSOS INCLUIDOS</t>
  </si>
  <si>
    <t>8,70</t>
  </si>
  <si>
    <t xml:space="preserve"> 00000082 </t>
  </si>
  <si>
    <t>22,06</t>
  </si>
  <si>
    <t xml:space="preserve"> 00000084 </t>
  </si>
  <si>
    <t>80,0</t>
  </si>
  <si>
    <t>45,11</t>
  </si>
  <si>
    <t xml:space="preserve"> 00001793 </t>
  </si>
  <si>
    <t>427,66</t>
  </si>
  <si>
    <t xml:space="preserve"> 00020111 </t>
  </si>
  <si>
    <t>FITA ISOLANTE ADESIVA ANTICHAMA, USO ATE 750 V, EM ROLO DE 19 MM X 20 M</t>
  </si>
  <si>
    <t>12,18</t>
  </si>
  <si>
    <t xml:space="preserve"> 00001591 </t>
  </si>
  <si>
    <t>9,48</t>
  </si>
  <si>
    <t>72,55</t>
  </si>
  <si>
    <t>0,3333</t>
  </si>
  <si>
    <t xml:space="preserve"> 00000073 </t>
  </si>
  <si>
    <t>21,50</t>
  </si>
  <si>
    <t xml:space="preserve"> 00034359 </t>
  </si>
  <si>
    <t>CURVA 90 GRAUS DE BARRA CHATA EM ALUMINIO 3/4 " X 1/4 " X 300 MM</t>
  </si>
  <si>
    <t>10,82</t>
  </si>
  <si>
    <t>0,26</t>
  </si>
  <si>
    <t xml:space="preserve"> 00011962 </t>
  </si>
  <si>
    <t>PARAFUSO ZINCADO, SEXTAVADO, COM ROSCA INTEIRA, DIAMETRO 1/4", COMPRIMENTO 1/2"</t>
  </si>
  <si>
    <t>6,41</t>
  </si>
  <si>
    <t>0,1</t>
  </si>
  <si>
    <t xml:space="preserve"> 00003384 </t>
  </si>
  <si>
    <t>3,27</t>
  </si>
  <si>
    <t>24,05</t>
  </si>
  <si>
    <t xml:space="preserve"> 00000101 </t>
  </si>
  <si>
    <t>14,43</t>
  </si>
  <si>
    <t>4,61</t>
  </si>
  <si>
    <t xml:space="preserve"> 00039129 </t>
  </si>
  <si>
    <t>3,11</t>
  </si>
  <si>
    <t>0,15</t>
  </si>
  <si>
    <t xml:space="preserve"> 00007583 </t>
  </si>
  <si>
    <t>71,53</t>
  </si>
  <si>
    <t>0,98</t>
  </si>
  <si>
    <t xml:space="preserve"> 00000233 </t>
  </si>
  <si>
    <t>13,29</t>
  </si>
  <si>
    <t xml:space="preserve"> 00000234 </t>
  </si>
  <si>
    <t>27,33</t>
  </si>
  <si>
    <t>8,15</t>
  </si>
  <si>
    <t xml:space="preserve"> 00000112 </t>
  </si>
  <si>
    <t>CARTUCHO PARA SOLDA 115MM</t>
  </si>
  <si>
    <t>316,73</t>
  </si>
  <si>
    <t xml:space="preserve"> 00000107 </t>
  </si>
  <si>
    <t>307,27</t>
  </si>
  <si>
    <t>334,67</t>
  </si>
  <si>
    <t xml:space="preserve"> 00004274 </t>
  </si>
  <si>
    <t>52,21</t>
  </si>
  <si>
    <t xml:space="preserve"> 00004350 </t>
  </si>
  <si>
    <t>0,28</t>
  </si>
  <si>
    <t xml:space="preserve"> 00011854 </t>
  </si>
  <si>
    <t>3,76</t>
  </si>
  <si>
    <t xml:space="preserve"> 00007696 </t>
  </si>
  <si>
    <t>32,93</t>
  </si>
  <si>
    <t xml:space="preserve"> 00007572 </t>
  </si>
  <si>
    <t>SUPORTE ISOLADOR REFORCADO DIAMETRO NOMINAL 5/16", COM ROSCA SOBERBA E BUCHA</t>
  </si>
  <si>
    <t>4,51</t>
  </si>
  <si>
    <t>49,71</t>
  </si>
  <si>
    <t xml:space="preserve"> 00038061 </t>
  </si>
  <si>
    <t>28,20</t>
  </si>
  <si>
    <t xml:space="preserve"> 00002510 </t>
  </si>
  <si>
    <t>RELE FOTOELETRICO INTERNO E EXTERNO BIVOLT 1000 W, DE CONECTOR, SEM BASE</t>
  </si>
  <si>
    <t>13,78</t>
  </si>
  <si>
    <t xml:space="preserve"> 00038191 </t>
  </si>
  <si>
    <t>7,92</t>
  </si>
  <si>
    <t>22,62</t>
  </si>
  <si>
    <t xml:space="preserve"> 00000187 </t>
  </si>
  <si>
    <t>16,44</t>
  </si>
  <si>
    <t>24,52</t>
  </si>
  <si>
    <t xml:space="preserve"> 00011950 </t>
  </si>
  <si>
    <t xml:space="preserve"> 00000188 </t>
  </si>
  <si>
    <t>14,87</t>
  </si>
  <si>
    <t>32,65</t>
  </si>
  <si>
    <t xml:space="preserve"> 00037558 </t>
  </si>
  <si>
    <t>26,47</t>
  </si>
  <si>
    <t>79,41</t>
  </si>
  <si>
    <t xml:space="preserve"> 00000057 </t>
  </si>
  <si>
    <t>63,63</t>
  </si>
  <si>
    <t>42,21</t>
  </si>
  <si>
    <t xml:space="preserve"> 00000206 </t>
  </si>
  <si>
    <t>20,13</t>
  </si>
  <si>
    <t>596,64</t>
  </si>
  <si>
    <t xml:space="preserve"> 00000113 </t>
  </si>
  <si>
    <t>578,96</t>
  </si>
  <si>
    <t>227,79</t>
  </si>
  <si>
    <t xml:space="preserve"> 00000079 </t>
  </si>
  <si>
    <t>121,71</t>
  </si>
  <si>
    <t xml:space="preserve"> SDC03069 </t>
  </si>
  <si>
    <t>14,37</t>
  </si>
  <si>
    <t xml:space="preserve"> 00000266 </t>
  </si>
  <si>
    <t>ELETRODUTODE FERRO ZINCADO LEVE 3/4" X 3M</t>
  </si>
  <si>
    <t>13,58</t>
  </si>
  <si>
    <t xml:space="preserve"> SDC03021 </t>
  </si>
  <si>
    <t>18,90</t>
  </si>
  <si>
    <t xml:space="preserve"> 00000277 </t>
  </si>
  <si>
    <t>17,37</t>
  </si>
  <si>
    <t xml:space="preserve"> SDC03070 </t>
  </si>
  <si>
    <t>4,00</t>
  </si>
  <si>
    <t xml:space="preserve"> 00000267 </t>
  </si>
  <si>
    <t xml:space="preserve"> SDC03022 </t>
  </si>
  <si>
    <t>4,13</t>
  </si>
  <si>
    <t xml:space="preserve"> 00000278 </t>
  </si>
  <si>
    <t xml:space="preserve"> SDC03023 </t>
  </si>
  <si>
    <t>14,42</t>
  </si>
  <si>
    <t xml:space="preserve"> 00000279 </t>
  </si>
  <si>
    <t>25,75</t>
  </si>
  <si>
    <t xml:space="preserve"> 00020254 </t>
  </si>
  <si>
    <t>16,13</t>
  </si>
  <si>
    <t xml:space="preserve"> 00037539 </t>
  </si>
  <si>
    <t>14,20</t>
  </si>
  <si>
    <t xml:space="preserve"> 00038094 </t>
  </si>
  <si>
    <t>1,61</t>
  </si>
  <si>
    <t xml:space="preserve"> SDC03123 </t>
  </si>
  <si>
    <t xml:space="preserve"> 00000269 </t>
  </si>
  <si>
    <t xml:space="preserve"> SDC03024 </t>
  </si>
  <si>
    <t>3,81</t>
  </si>
  <si>
    <t xml:space="preserve"> 00000280 </t>
  </si>
  <si>
    <t>TAMPA CEGA PARA CONDULETE 1"</t>
  </si>
  <si>
    <t>2,02</t>
  </si>
  <si>
    <t>213,22</t>
  </si>
  <si>
    <t>0,282</t>
  </si>
  <si>
    <t xml:space="preserve"> 00010905 </t>
  </si>
  <si>
    <t>65,99</t>
  </si>
  <si>
    <t xml:space="preserve"> 00020974 </t>
  </si>
  <si>
    <t>UNIAO TIPO STORZ, COM EMPATACAO INTERNA TIPO ANEL DE EXPANSAO, ENGATE RAPIDO 2 1/2", PARA MANGUEIRA DE COMBATE A INCENDIO PREDIAL</t>
  </si>
  <si>
    <t>110,39</t>
  </si>
  <si>
    <t xml:space="preserve"> SDC07011 </t>
  </si>
  <si>
    <t>85,92</t>
  </si>
  <si>
    <t xml:space="preserve"> 00020966 </t>
  </si>
  <si>
    <t>ESGUICHO TIPO JATO SOLIDO, EM LATAO, ENGATE RAPIDO 1 1/2" X 19 MM, PARA MANGUEIRA EM INSTALACAO PREDIAL COMBATE A INCENDIO</t>
  </si>
  <si>
    <t>49,08</t>
  </si>
  <si>
    <t xml:space="preserve"> SDC07010 </t>
  </si>
  <si>
    <t>15,43</t>
  </si>
  <si>
    <t xml:space="preserve"> 00020971 </t>
  </si>
  <si>
    <t>CHAVE DUPLA PARA CONEXOES TIPO STORZ, ENGATE RAPIDO 1 1/2" X 2 1/2", EM LATAO, PARA INSTALACAO PREDIAL COMBATE A INCENDIO</t>
  </si>
  <si>
    <t>11,99</t>
  </si>
  <si>
    <t>376,01</t>
  </si>
  <si>
    <t>14,0</t>
  </si>
  <si>
    <t xml:space="preserve"> 00006243 </t>
  </si>
  <si>
    <t>TAMPAO FOFO SIMPLES COM BASE, CLASSE B125 CARGA MAX 12,5 T, REDONDO TAMPA 600 MM, REDE PLUVIAL/ESGOTO</t>
  </si>
  <si>
    <t>305,00</t>
  </si>
  <si>
    <t>56,99</t>
  </si>
  <si>
    <t xml:space="preserve"> 00000246 </t>
  </si>
  <si>
    <t>ACIONADOR MANUAL LIGA DESLIGA, BOTOEIRA, TIPO QUEBRA VIDRO, PARA ACIONAMENTO DA BOMBA DO HIDRANTE</t>
  </si>
  <si>
    <t>41,21</t>
  </si>
  <si>
    <t>2.656,21</t>
  </si>
  <si>
    <t>6,1</t>
  </si>
  <si>
    <t xml:space="preserve"> 88279 </t>
  </si>
  <si>
    <t>22,34</t>
  </si>
  <si>
    <t xml:space="preserve"> 00000242 </t>
  </si>
  <si>
    <t>2.430,82</t>
  </si>
  <si>
    <t xml:space="preserve"> SDC07040 </t>
  </si>
  <si>
    <t xml:space="preserve"> 00000256 </t>
  </si>
  <si>
    <t>2,68</t>
  </si>
  <si>
    <t>247,39</t>
  </si>
  <si>
    <t>3,86</t>
  </si>
  <si>
    <t>6,32</t>
  </si>
  <si>
    <t>0,1685</t>
  </si>
  <si>
    <t>31,048</t>
  </si>
  <si>
    <t xml:space="preserve"> 00004730 </t>
  </si>
  <si>
    <t>PEDRA DE MAO OU PEDRA RACHAO PARA ARRIMO/FUNDACAO (POSTO PEDREIRA/FORNECEDOR, SEM FRETE)</t>
  </si>
  <si>
    <t>0,138</t>
  </si>
  <si>
    <t>51,96</t>
  </si>
  <si>
    <t>17,908</t>
  </si>
  <si>
    <t>174,9</t>
  </si>
  <si>
    <t>34,55</t>
  </si>
  <si>
    <t xml:space="preserve"> 00038774 </t>
  </si>
  <si>
    <t>LUMINARIA DE EMERGENCIA 30 LEDS, POTENCIA 2 W, BATERIA DE LITIO, AUTONOMIA DE 6 HORAS</t>
  </si>
  <si>
    <t>25,71</t>
  </si>
  <si>
    <t>0,0103</t>
  </si>
  <si>
    <t xml:space="preserve"> 00007156 </t>
  </si>
  <si>
    <t>TELA DE ACO SOLDADA NERVURADA, CA-60, Q-196, (3,11 KG/M2), DIAMETRO DO FIO = 5,0 MM, LARGURA =  2,45 M, ESPACAMENTO DA MALHA = 10 X 10 CM</t>
  </si>
  <si>
    <t>1,03</t>
  </si>
  <si>
    <t>17,92</t>
  </si>
  <si>
    <t>0,006</t>
  </si>
  <si>
    <t>0,0367</t>
  </si>
  <si>
    <t xml:space="preserve"> 92796 </t>
  </si>
  <si>
    <t>3,95</t>
  </si>
  <si>
    <t>0,0212</t>
  </si>
  <si>
    <t xml:space="preserve"> 00003452 </t>
  </si>
  <si>
    <t>COTOVELO 90 GRAUS DE FERRO GALVANIZADO, COM ROSCA BSP MACHO/FEMEA, DE 2"</t>
  </si>
  <si>
    <t xml:space="preserve"> 88246 </t>
  </si>
  <si>
    <t>ASSENTADOR DE TUBOS COM ENCARGOS COMPLEMENTARES</t>
  </si>
  <si>
    <t>0,35742</t>
  </si>
  <si>
    <t>20,69</t>
  </si>
  <si>
    <t>0,71484</t>
  </si>
  <si>
    <t xml:space="preserve"> 5631 </t>
  </si>
  <si>
    <t>ESCAVADEIRA HIDRÁULICA SOBRE ESTEIRAS, CAÇAMBA 0,80 M3, PESO OPERACIONAL 17 T, POTENCIA BRUTA 111 HP - CHP DIURNO. AF_06/2014</t>
  </si>
  <si>
    <t>0,07548</t>
  </si>
  <si>
    <t>143,15</t>
  </si>
  <si>
    <t xml:space="preserve"> 5632 </t>
  </si>
  <si>
    <t>ESCAVADEIRA HIDRÁULICA SOBRE ESTEIRAS, CAÇAMBA 0,80 M3, PESO OPERACIONAL 17 T, POTENCIA BRUTA 111 HP - CHI DIURNO. AF_06/2014</t>
  </si>
  <si>
    <t>0,15984</t>
  </si>
  <si>
    <t>49,39</t>
  </si>
  <si>
    <t xml:space="preserve"> 00007759 </t>
  </si>
  <si>
    <t>TUBO CONCRETO ARMADO, CLASSE PA-1, PB, DN 2000 MM, PARA AGUAS PLUVIAIS (NBR 8890)</t>
  </si>
  <si>
    <t>1.204,04</t>
  </si>
  <si>
    <t>0,61</t>
  </si>
  <si>
    <t>0,0112</t>
  </si>
  <si>
    <t xml:space="preserve"> 00011756 </t>
  </si>
  <si>
    <t>REGISTRO OU REGULADOR DE GAS COZINHA, VAZAO DE 2 KG/H, 2,8 KPA</t>
  </si>
  <si>
    <t>22,87</t>
  </si>
  <si>
    <t xml:space="preserve"> 00034345 </t>
  </si>
  <si>
    <t>8,98</t>
  </si>
  <si>
    <t xml:space="preserve"> 00037370 </t>
  </si>
  <si>
    <t>Outros</t>
  </si>
  <si>
    <t>2,15</t>
  </si>
  <si>
    <t xml:space="preserve"> 00037371 </t>
  </si>
  <si>
    <t>0,60</t>
  </si>
  <si>
    <t xml:space="preserve"> 00037372 </t>
  </si>
  <si>
    <t>EXAMES - HORISTA (ENCARGOS COMPLEMENTARES) (COLETADO CAIXA)</t>
  </si>
  <si>
    <t xml:space="preserve"> 00037373 </t>
  </si>
  <si>
    <t>Taxas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</si>
</sst>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7" formatCode="0.000"/>
    <numFmt numFmtId="168" formatCode="#,##0.0000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10"/>
      <name val="Arial"/>
      <family val="2"/>
    </font>
    <font>
      <sz val="11"/>
      <name val="Arial"/>
      <family val="2"/>
    </font>
    <font>
      <i/>
      <sz val="9"/>
      <color theme="1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i/>
      <sz val="12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  <font>
      <b/>
      <sz val="12"/>
      <name val="Calibri Light"/>
      <family val="2"/>
    </font>
    <font>
      <sz val="2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sz val="9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0"/>
      <color theme="0"/>
      <name val="Calibri Light"/>
      <family val="2"/>
    </font>
    <font>
      <b/>
      <sz val="9"/>
      <color rgb="FFFFFFFF"/>
      <name val="Calibri Light"/>
      <family val="2"/>
    </font>
    <font>
      <sz val="9"/>
      <color theme="1"/>
      <name val="Cambria"/>
      <family val="2"/>
      <scheme val="major"/>
    </font>
    <font>
      <sz val="13"/>
      <name val="Calibri"/>
      <family val="2"/>
      <scheme val="minor"/>
    </font>
    <font>
      <sz val="23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3"/>
      <color rgb="FF000000"/>
      <name val="Calibri"/>
      <family val="2"/>
    </font>
    <font>
      <sz val="12"/>
      <color rgb="FF000000"/>
      <name val="Calibri Light"/>
      <family val="2"/>
    </font>
    <font>
      <sz val="12"/>
      <color rgb="FFFF0000"/>
      <name val="Calibri Light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1"/>
      <color rgb="FF00B0F0"/>
      <name val="Calibri Light"/>
      <family val="2"/>
    </font>
    <font>
      <sz val="11"/>
      <color rgb="FFFF0000"/>
      <name val="Calibri Light"/>
      <family val="2"/>
    </font>
    <font>
      <sz val="12"/>
      <color rgb="FF00B0F0"/>
      <name val="Calibri Light"/>
      <family val="2"/>
    </font>
    <font>
      <b/>
      <sz val="10"/>
      <color rgb="FFFF0000"/>
      <name val="Calibri Light"/>
      <family val="2"/>
    </font>
    <font>
      <sz val="10"/>
      <color rgb="FFFF000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Calibri Light"/>
      <family val="2"/>
    </font>
    <font>
      <b/>
      <sz val="11"/>
      <color rgb="FFFF0000"/>
      <name val="Calibri Light"/>
      <family val="2"/>
    </font>
    <font>
      <sz val="11"/>
      <color rgb="FF0000FF"/>
      <name val="Calibri Light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indexed="10"/>
      <name val="Calibri Light"/>
      <family val="2"/>
    </font>
    <font>
      <u/>
      <sz val="10"/>
      <name val="Arial"/>
      <family val="2"/>
    </font>
    <font>
      <b/>
      <sz val="11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8"/>
      <color indexed="8"/>
      <name val="Calibri Light"/>
      <family val="2"/>
    </font>
    <font>
      <i/>
      <sz val="8"/>
      <color indexed="8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name val="Calibri Light"/>
      <family val="2"/>
    </font>
    <font>
      <i/>
      <sz val="11"/>
      <color rgb="FFFF0000"/>
      <name val="Calibri Light"/>
      <family val="2"/>
    </font>
    <font>
      <b/>
      <i/>
      <u/>
      <sz val="11"/>
      <color indexed="10"/>
      <name val="Calibri Light"/>
      <family val="2"/>
    </font>
    <font>
      <i/>
      <sz val="11"/>
      <color indexed="10"/>
      <name val="Calibri Light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b/>
      <sz val="11"/>
      <name val="Arial"/>
      <family val="1"/>
    </font>
    <font>
      <sz val="11"/>
      <name val="Arial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9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83" fillId="0" borderId="0"/>
  </cellStyleXfs>
  <cellXfs count="95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4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3" fillId="0" borderId="0" xfId="3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3" applyNumberFormat="1" applyFont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43" fontId="3" fillId="5" borderId="0" xfId="0" applyNumberFormat="1" applyFont="1" applyFill="1" applyBorder="1" applyAlignment="1">
      <alignment vertical="center" wrapText="1"/>
    </xf>
    <xf numFmtId="10" fontId="3" fillId="5" borderId="0" xfId="2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10" fontId="2" fillId="0" borderId="3" xfId="3" applyNumberFormat="1" applyFont="1" applyBorder="1" applyAlignment="1">
      <alignment horizontal="center" vertical="center" wrapText="1"/>
    </xf>
    <xf numFmtId="10" fontId="2" fillId="0" borderId="3" xfId="2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10" fontId="3" fillId="0" borderId="0" xfId="2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10" fontId="2" fillId="0" borderId="10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right" vertical="center" wrapText="1"/>
    </xf>
    <xf numFmtId="43" fontId="2" fillId="0" borderId="10" xfId="0" applyNumberFormat="1" applyFont="1" applyBorder="1" applyAlignment="1">
      <alignment horizontal="right" vertical="center" wrapText="1"/>
    </xf>
    <xf numFmtId="10" fontId="3" fillId="0" borderId="0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5" fillId="0" borderId="0" xfId="4" applyFont="1" applyFill="1" applyAlignment="1">
      <alignment vertical="center"/>
    </xf>
    <xf numFmtId="0" fontId="5" fillId="0" borderId="0" xfId="4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/>
    <xf numFmtId="0" fontId="5" fillId="0" borderId="0" xfId="4" applyFont="1" applyAlignment="1">
      <alignment horizontal="center"/>
    </xf>
    <xf numFmtId="2" fontId="5" fillId="0" borderId="0" xfId="4" applyNumberFormat="1" applyFont="1" applyFill="1"/>
    <xf numFmtId="0" fontId="8" fillId="0" borderId="0" xfId="4" applyFont="1" applyFill="1" applyAlignment="1"/>
    <xf numFmtId="0" fontId="8" fillId="0" borderId="0" xfId="4" applyFont="1" applyFill="1"/>
    <xf numFmtId="0" fontId="5" fillId="0" borderId="0" xfId="4" applyFont="1" applyFill="1" applyAlignment="1"/>
    <xf numFmtId="2" fontId="5" fillId="0" borderId="0" xfId="4" applyNumberFormat="1" applyFont="1"/>
    <xf numFmtId="0" fontId="5" fillId="0" borderId="0" xfId="4" applyFont="1" applyAlignment="1"/>
    <xf numFmtId="0" fontId="5" fillId="0" borderId="0" xfId="4" applyFont="1" applyFill="1" applyBorder="1"/>
    <xf numFmtId="0" fontId="5" fillId="0" borderId="0" xfId="4" applyFont="1" applyFill="1" applyBorder="1" applyAlignment="1"/>
    <xf numFmtId="2" fontId="5" fillId="0" borderId="0" xfId="4" applyNumberFormat="1" applyFont="1" applyFill="1" applyBorder="1"/>
    <xf numFmtId="0" fontId="8" fillId="0" borderId="0" xfId="4" applyFont="1" applyFill="1" applyBorder="1" applyAlignment="1"/>
    <xf numFmtId="2" fontId="8" fillId="0" borderId="0" xfId="4" applyNumberFormat="1" applyFont="1" applyFill="1" applyBorder="1"/>
    <xf numFmtId="0" fontId="5" fillId="0" borderId="0" xfId="4" applyFont="1" applyFill="1" applyBorder="1" applyAlignment="1">
      <alignment horizontal="right"/>
    </xf>
    <xf numFmtId="0" fontId="8" fillId="0" borderId="0" xfId="4" applyFont="1" applyFill="1" applyBorder="1"/>
    <xf numFmtId="2" fontId="5" fillId="2" borderId="0" xfId="4" applyNumberFormat="1" applyFont="1" applyFill="1"/>
    <xf numFmtId="0" fontId="13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3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43" fontId="13" fillId="0" borderId="0" xfId="3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43" fontId="13" fillId="0" borderId="0" xfId="3" applyFont="1" applyAlignment="1">
      <alignment horizontal="right" vertical="center" wrapText="1"/>
    </xf>
    <xf numFmtId="0" fontId="5" fillId="0" borderId="0" xfId="4" applyFont="1" applyFill="1" applyBorder="1" applyAlignment="1">
      <alignment vertical="center" wrapText="1"/>
    </xf>
    <xf numFmtId="2" fontId="5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right" vertical="center" wrapText="1"/>
    </xf>
    <xf numFmtId="43" fontId="12" fillId="0" borderId="5" xfId="3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3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2" fontId="5" fillId="5" borderId="0" xfId="4" applyNumberFormat="1" applyFont="1" applyFill="1" applyAlignment="1">
      <alignment vertical="center"/>
    </xf>
    <xf numFmtId="0" fontId="8" fillId="5" borderId="0" xfId="4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 wrapText="1"/>
    </xf>
    <xf numFmtId="10" fontId="3" fillId="0" borderId="0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3" fontId="3" fillId="0" borderId="4" xfId="0" applyNumberFormat="1" applyFont="1" applyFill="1" applyBorder="1" applyAlignment="1">
      <alignment vertical="center" wrapText="1"/>
    </xf>
    <xf numFmtId="10" fontId="3" fillId="0" borderId="4" xfId="2" applyNumberFormat="1" applyFont="1" applyFill="1" applyBorder="1" applyAlignment="1">
      <alignment vertical="center" wrapText="1"/>
    </xf>
    <xf numFmtId="10" fontId="2" fillId="0" borderId="0" xfId="2" applyNumberFormat="1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43" fontId="6" fillId="0" borderId="0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2" fontId="6" fillId="6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5" fillId="0" borderId="0" xfId="4" applyFont="1" applyBorder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3" fontId="13" fillId="0" borderId="0" xfId="3" applyFont="1" applyFill="1" applyBorder="1" applyAlignment="1">
      <alignment horizontal="center" vertical="center" wrapText="1"/>
    </xf>
    <xf numFmtId="43" fontId="13" fillId="0" borderId="0" xfId="0" applyNumberFormat="1" applyFont="1" applyFill="1" applyAlignment="1">
      <alignment vertical="center" wrapText="1"/>
    </xf>
    <xf numFmtId="0" fontId="21" fillId="0" borderId="5" xfId="0" applyFont="1" applyFill="1" applyBorder="1" applyAlignment="1">
      <alignment horizontal="right" vertical="center" wrapText="1"/>
    </xf>
    <xf numFmtId="43" fontId="19" fillId="0" borderId="0" xfId="3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3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vertical="center" wrapText="1"/>
    </xf>
    <xf numFmtId="43" fontId="3" fillId="6" borderId="0" xfId="0" applyNumberFormat="1" applyFont="1" applyFill="1" applyBorder="1" applyAlignment="1">
      <alignment vertical="center" wrapText="1"/>
    </xf>
    <xf numFmtId="10" fontId="3" fillId="6" borderId="0" xfId="2" applyNumberFormat="1" applyFont="1" applyFill="1" applyBorder="1" applyAlignment="1">
      <alignment vertical="center" wrapText="1"/>
    </xf>
    <xf numFmtId="43" fontId="3" fillId="6" borderId="4" xfId="0" applyNumberFormat="1" applyFont="1" applyFill="1" applyBorder="1" applyAlignment="1">
      <alignment vertical="center" wrapText="1"/>
    </xf>
    <xf numFmtId="10" fontId="3" fillId="6" borderId="4" xfId="2" applyNumberFormat="1" applyFont="1" applyFill="1" applyBorder="1" applyAlignment="1">
      <alignment vertical="center" wrapText="1"/>
    </xf>
    <xf numFmtId="0" fontId="5" fillId="0" borderId="11" xfId="4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6" fillId="12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2" fontId="0" fillId="6" borderId="52" xfId="0" applyNumberFormat="1" applyFill="1" applyBorder="1" applyAlignment="1">
      <alignment horizontal="center" vertical="center"/>
    </xf>
    <xf numFmtId="2" fontId="0" fillId="6" borderId="20" xfId="0" applyNumberForma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12" borderId="33" xfId="0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/>
    </xf>
    <xf numFmtId="0" fontId="26" fillId="0" borderId="0" xfId="4" applyFont="1" applyFill="1" applyBorder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 wrapText="1"/>
    </xf>
    <xf numFmtId="0" fontId="27" fillId="8" borderId="11" xfId="4" applyFont="1" applyFill="1" applyBorder="1" applyAlignment="1">
      <alignment horizontal="center" vertical="center"/>
    </xf>
    <xf numFmtId="0" fontId="8" fillId="13" borderId="11" xfId="4" applyFont="1" applyFill="1" applyBorder="1" applyAlignment="1">
      <alignment horizontal="center" vertical="center"/>
    </xf>
    <xf numFmtId="0" fontId="8" fillId="13" borderId="11" xfId="4" applyFont="1" applyFill="1" applyBorder="1" applyAlignment="1">
      <alignment horizontal="left" vertical="center"/>
    </xf>
    <xf numFmtId="0" fontId="5" fillId="0" borderId="11" xfId="4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/>
    </xf>
    <xf numFmtId="2" fontId="25" fillId="6" borderId="8" xfId="0" applyNumberFormat="1" applyFon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3" fillId="5" borderId="4" xfId="0" applyNumberFormat="1" applyFont="1" applyFill="1" applyBorder="1" applyAlignment="1">
      <alignment vertical="center" wrapText="1"/>
    </xf>
    <xf numFmtId="10" fontId="3" fillId="5" borderId="4" xfId="2" applyNumberFormat="1" applyFont="1" applyFill="1" applyBorder="1" applyAlignment="1">
      <alignment vertical="center" wrapText="1"/>
    </xf>
    <xf numFmtId="10" fontId="3" fillId="0" borderId="0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3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3" fontId="13" fillId="0" borderId="4" xfId="3" applyFont="1" applyFill="1" applyBorder="1" applyAlignment="1">
      <alignment vertical="center" wrapText="1"/>
    </xf>
    <xf numFmtId="43" fontId="12" fillId="0" borderId="4" xfId="3" applyFont="1" applyFill="1" applyBorder="1" applyAlignment="1">
      <alignment vertical="center" wrapText="1"/>
    </xf>
    <xf numFmtId="164" fontId="21" fillId="0" borderId="0" xfId="5" applyFont="1" applyFill="1" applyBorder="1" applyAlignment="1">
      <alignment horizontal="justify" vertical="justify" wrapText="1"/>
    </xf>
    <xf numFmtId="0" fontId="21" fillId="0" borderId="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17" fontId="3" fillId="0" borderId="6" xfId="0" applyNumberFormat="1" applyFont="1" applyBorder="1" applyAlignment="1">
      <alignment horizontal="left" vertical="center" wrapText="1"/>
    </xf>
    <xf numFmtId="10" fontId="13" fillId="0" borderId="0" xfId="2" applyNumberFormat="1" applyFont="1" applyAlignment="1">
      <alignment horizontal="center" vertical="center" wrapText="1"/>
    </xf>
    <xf numFmtId="44" fontId="3" fillId="0" borderId="0" xfId="1" applyFont="1" applyBorder="1" applyAlignment="1">
      <alignment horizontal="left" vertical="center" wrapText="1"/>
    </xf>
    <xf numFmtId="0" fontId="17" fillId="0" borderId="0" xfId="0" applyFont="1" applyBorder="1"/>
    <xf numFmtId="0" fontId="32" fillId="8" borderId="25" xfId="0" applyFont="1" applyFill="1" applyBorder="1" applyAlignment="1">
      <alignment horizontal="center" vertical="center" wrapText="1"/>
    </xf>
    <xf numFmtId="0" fontId="32" fillId="8" borderId="27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10" fontId="30" fillId="0" borderId="0" xfId="0" applyNumberFormat="1" applyFont="1" applyBorder="1" applyAlignment="1">
      <alignment horizontal="center" vertical="center"/>
    </xf>
    <xf numFmtId="10" fontId="30" fillId="0" borderId="23" xfId="0" applyNumberFormat="1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10" fontId="29" fillId="0" borderId="5" xfId="0" applyNumberFormat="1" applyFont="1" applyBorder="1" applyAlignment="1">
      <alignment horizontal="center" vertical="center"/>
    </xf>
    <xf numFmtId="10" fontId="29" fillId="0" borderId="58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0" fontId="32" fillId="8" borderId="25" xfId="0" applyNumberFormat="1" applyFont="1" applyFill="1" applyBorder="1" applyAlignment="1">
      <alignment horizontal="center" vertical="center"/>
    </xf>
    <xf numFmtId="10" fontId="32" fillId="8" borderId="27" xfId="0" applyNumberFormat="1" applyFont="1" applyFill="1" applyBorder="1" applyAlignment="1">
      <alignment horizontal="center" vertical="center"/>
    </xf>
    <xf numFmtId="4" fontId="17" fillId="0" borderId="0" xfId="3" applyNumberFormat="1" applyFont="1" applyBorder="1" applyAlignment="1">
      <alignment horizontal="center" vertical="center"/>
    </xf>
    <xf numFmtId="4" fontId="13" fillId="0" borderId="6" xfId="3" applyNumberFormat="1" applyFont="1" applyBorder="1" applyAlignment="1">
      <alignment horizontal="center" vertical="center"/>
    </xf>
    <xf numFmtId="4" fontId="12" fillId="0" borderId="3" xfId="3" applyNumberFormat="1" applyFont="1" applyBorder="1" applyAlignment="1">
      <alignment horizontal="center" vertical="center" wrapText="1"/>
    </xf>
    <xf numFmtId="4" fontId="13" fillId="0" borderId="0" xfId="3" applyNumberFormat="1" applyFont="1" applyFill="1" applyBorder="1" applyAlignment="1">
      <alignment horizontal="center" vertical="center" wrapText="1"/>
    </xf>
    <xf numFmtId="4" fontId="13" fillId="0" borderId="0" xfId="3" applyNumberFormat="1" applyFont="1" applyFill="1" applyBorder="1" applyAlignment="1">
      <alignment horizontal="right" vertical="center" wrapText="1"/>
    </xf>
    <xf numFmtId="4" fontId="12" fillId="0" borderId="5" xfId="3" applyNumberFormat="1" applyFont="1" applyBorder="1" applyAlignment="1">
      <alignment vertical="center" wrapText="1"/>
    </xf>
    <xf numFmtId="4" fontId="12" fillId="0" borderId="5" xfId="3" applyNumberFormat="1" applyFont="1" applyFill="1" applyBorder="1" applyAlignment="1">
      <alignment vertical="center" wrapText="1"/>
    </xf>
    <xf numFmtId="4" fontId="12" fillId="0" borderId="5" xfId="3" applyNumberFormat="1" applyFont="1" applyBorder="1" applyAlignment="1">
      <alignment horizontal="right" vertical="center" wrapText="1"/>
    </xf>
    <xf numFmtId="4" fontId="13" fillId="0" borderId="4" xfId="3" applyNumberFormat="1" applyFont="1" applyFill="1" applyBorder="1" applyAlignment="1">
      <alignment vertical="center" wrapText="1"/>
    </xf>
    <xf numFmtId="4" fontId="12" fillId="0" borderId="4" xfId="3" applyNumberFormat="1" applyFont="1" applyFill="1" applyBorder="1" applyAlignment="1">
      <alignment vertical="center" wrapText="1"/>
    </xf>
    <xf numFmtId="4" fontId="19" fillId="0" borderId="0" xfId="3" applyNumberFormat="1" applyFont="1" applyFill="1" applyBorder="1" applyAlignment="1">
      <alignment horizontal="right" vertical="center" wrapText="1"/>
    </xf>
    <xf numFmtId="4" fontId="13" fillId="0" borderId="0" xfId="3" applyNumberFormat="1" applyFont="1" applyFill="1" applyBorder="1" applyAlignment="1">
      <alignment vertical="center" wrapText="1"/>
    </xf>
    <xf numFmtId="4" fontId="12" fillId="0" borderId="0" xfId="3" applyNumberFormat="1" applyFont="1" applyFill="1" applyBorder="1" applyAlignment="1">
      <alignment vertical="center" wrapText="1"/>
    </xf>
    <xf numFmtId="4" fontId="19" fillId="6" borderId="0" xfId="3" applyNumberFormat="1" applyFont="1" applyFill="1" applyBorder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4" fontId="13" fillId="0" borderId="0" xfId="3" applyNumberFormat="1" applyFont="1" applyAlignment="1">
      <alignment horizontal="right" vertical="center" wrapText="1"/>
    </xf>
    <xf numFmtId="4" fontId="18" fillId="0" borderId="0" xfId="3" applyNumberFormat="1" applyFont="1" applyBorder="1" applyAlignment="1">
      <alignment horizontal="right" vertical="center"/>
    </xf>
    <xf numFmtId="4" fontId="17" fillId="0" borderId="0" xfId="3" applyNumberFormat="1" applyFont="1" applyBorder="1" applyAlignment="1">
      <alignment horizontal="left" vertical="center" wrapText="1"/>
    </xf>
    <xf numFmtId="4" fontId="17" fillId="0" borderId="0" xfId="3" applyNumberFormat="1" applyFont="1" applyBorder="1" applyAlignment="1">
      <alignment horizontal="left" vertical="center"/>
    </xf>
    <xf numFmtId="4" fontId="12" fillId="0" borderId="0" xfId="3" applyNumberFormat="1" applyFont="1" applyFill="1" applyBorder="1" applyAlignment="1">
      <alignment horizontal="center" vertical="center" wrapText="1"/>
    </xf>
    <xf numFmtId="4" fontId="13" fillId="0" borderId="0" xfId="3" applyNumberFormat="1" applyFont="1" applyBorder="1" applyAlignment="1">
      <alignment horizontal="right" vertical="center" wrapText="1"/>
    </xf>
    <xf numFmtId="4" fontId="12" fillId="0" borderId="5" xfId="3" applyNumberFormat="1" applyFont="1" applyFill="1" applyBorder="1" applyAlignment="1">
      <alignment horizontal="right" vertical="center" wrapText="1"/>
    </xf>
    <xf numFmtId="4" fontId="12" fillId="0" borderId="4" xfId="3" applyNumberFormat="1" applyFont="1" applyFill="1" applyBorder="1" applyAlignment="1">
      <alignment horizontal="right" vertical="center" wrapText="1"/>
    </xf>
    <xf numFmtId="4" fontId="13" fillId="0" borderId="4" xfId="3" applyNumberFormat="1" applyFont="1" applyFill="1" applyBorder="1" applyAlignment="1">
      <alignment horizontal="right" vertical="center" wrapText="1"/>
    </xf>
    <xf numFmtId="4" fontId="13" fillId="6" borderId="0" xfId="3" applyNumberFormat="1" applyFont="1" applyFill="1" applyBorder="1" applyAlignment="1">
      <alignment horizontal="right" vertical="center" wrapText="1"/>
    </xf>
    <xf numFmtId="4" fontId="13" fillId="0" borderId="0" xfId="3" applyNumberFormat="1" applyFont="1" applyAlignment="1">
      <alignment vertical="center" wrapText="1"/>
    </xf>
    <xf numFmtId="0" fontId="5" fillId="4" borderId="0" xfId="4" applyFont="1" applyFill="1"/>
    <xf numFmtId="0" fontId="0" fillId="0" borderId="0" xfId="0" applyAlignment="1">
      <alignment horizontal="left" vertical="center"/>
    </xf>
    <xf numFmtId="10" fontId="7" fillId="0" borderId="0" xfId="2" applyNumberFormat="1" applyFont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8" fillId="18" borderId="49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18" borderId="12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38" fillId="18" borderId="33" xfId="0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8" fillId="18" borderId="7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69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" fontId="0" fillId="0" borderId="0" xfId="0" applyNumberFormat="1"/>
    <xf numFmtId="0" fontId="8" fillId="5" borderId="0" xfId="4" applyFont="1" applyFill="1" applyBorder="1" applyAlignment="1">
      <alignment horizontal="center" vertical="center" wrapText="1"/>
    </xf>
    <xf numFmtId="167" fontId="44" fillId="4" borderId="0" xfId="4" applyNumberFormat="1" applyFont="1" applyFill="1" applyAlignment="1">
      <alignment vertical="center"/>
    </xf>
    <xf numFmtId="0" fontId="45" fillId="4" borderId="0" xfId="4" applyFont="1" applyFill="1" applyAlignment="1">
      <alignment horizontal="left" vertical="center"/>
    </xf>
    <xf numFmtId="0" fontId="20" fillId="0" borderId="11" xfId="4" applyFont="1" applyFill="1" applyBorder="1" applyAlignment="1">
      <alignment horizontal="center" vertical="center"/>
    </xf>
    <xf numFmtId="0" fontId="20" fillId="0" borderId="11" xfId="4" applyFont="1" applyFill="1" applyBorder="1" applyAlignment="1">
      <alignment horizontal="left" vertical="center"/>
    </xf>
    <xf numFmtId="0" fontId="20" fillId="0" borderId="11" xfId="4" applyFont="1" applyFill="1" applyBorder="1" applyAlignment="1">
      <alignment horizontal="left" vertical="center" wrapText="1"/>
    </xf>
    <xf numFmtId="164" fontId="20" fillId="0" borderId="11" xfId="4" applyNumberFormat="1" applyFont="1" applyFill="1" applyBorder="1" applyAlignment="1">
      <alignment horizontal="center" vertical="center"/>
    </xf>
    <xf numFmtId="0" fontId="46" fillId="0" borderId="0" xfId="4" applyFont="1" applyFill="1" applyAlignment="1">
      <alignment horizontal="left" vertical="center"/>
    </xf>
    <xf numFmtId="0" fontId="20" fillId="0" borderId="0" xfId="4" applyFont="1" applyFill="1" applyAlignment="1">
      <alignment horizontal="left" vertical="center"/>
    </xf>
    <xf numFmtId="0" fontId="20" fillId="6" borderId="11" xfId="4" applyFont="1" applyFill="1" applyBorder="1" applyAlignment="1">
      <alignment horizontal="left" vertical="center"/>
    </xf>
    <xf numFmtId="0" fontId="20" fillId="6" borderId="11" xfId="4" applyFont="1" applyFill="1" applyBorder="1" applyAlignment="1">
      <alignment horizontal="center" vertical="center"/>
    </xf>
    <xf numFmtId="0" fontId="20" fillId="6" borderId="11" xfId="4" applyFont="1" applyFill="1" applyBorder="1" applyAlignment="1">
      <alignment horizontal="left" vertical="center" wrapText="1"/>
    </xf>
    <xf numFmtId="2" fontId="20" fillId="6" borderId="11" xfId="4" applyNumberFormat="1" applyFont="1" applyFill="1" applyBorder="1" applyAlignment="1">
      <alignment horizontal="center" vertical="center"/>
    </xf>
    <xf numFmtId="2" fontId="20" fillId="0" borderId="11" xfId="4" applyNumberFormat="1" applyFont="1" applyFill="1" applyBorder="1" applyAlignment="1">
      <alignment horizontal="center" vertical="center"/>
    </xf>
    <xf numFmtId="0" fontId="20" fillId="4" borderId="0" xfId="4" applyFont="1" applyFill="1" applyAlignment="1">
      <alignment horizontal="center" vertical="center"/>
    </xf>
    <xf numFmtId="0" fontId="20" fillId="4" borderId="0" xfId="4" applyFont="1" applyFill="1" applyAlignment="1">
      <alignment horizontal="left" vertical="center"/>
    </xf>
    <xf numFmtId="0" fontId="20" fillId="0" borderId="0" xfId="4" applyFont="1" applyFill="1" applyAlignment="1">
      <alignment horizontal="center" vertical="center"/>
    </xf>
    <xf numFmtId="0" fontId="47" fillId="0" borderId="0" xfId="4" applyFont="1" applyFill="1" applyAlignment="1">
      <alignment horizontal="left" vertical="center"/>
    </xf>
    <xf numFmtId="167" fontId="20" fillId="14" borderId="0" xfId="4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43" fontId="48" fillId="0" borderId="0" xfId="3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43" fontId="12" fillId="0" borderId="5" xfId="3" applyFont="1" applyFill="1" applyBorder="1" applyAlignment="1">
      <alignment horizontal="right" vertical="center" wrapText="1"/>
    </xf>
    <xf numFmtId="43" fontId="13" fillId="0" borderId="0" xfId="3" applyFont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9" fillId="0" borderId="6" xfId="0" applyFont="1" applyBorder="1" applyAlignment="1">
      <alignment horizontal="left" vertical="center"/>
    </xf>
    <xf numFmtId="0" fontId="50" fillId="0" borderId="6" xfId="0" applyFont="1" applyBorder="1" applyAlignment="1">
      <alignment horizontal="left" vertical="center"/>
    </xf>
    <xf numFmtId="0" fontId="50" fillId="0" borderId="6" xfId="0" applyFont="1" applyBorder="1" applyAlignment="1">
      <alignment vertical="center"/>
    </xf>
    <xf numFmtId="0" fontId="50" fillId="0" borderId="6" xfId="0" applyFont="1" applyBorder="1" applyAlignment="1">
      <alignment horizontal="center" vertical="center"/>
    </xf>
    <xf numFmtId="0" fontId="50" fillId="0" borderId="6" xfId="3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3" fontId="2" fillId="0" borderId="4" xfId="3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3" applyFont="1" applyFill="1" applyAlignment="1">
      <alignment horizontal="righ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0" fillId="21" borderId="0" xfId="4" applyFont="1" applyFill="1" applyAlignment="1">
      <alignment horizontal="left" vertical="center"/>
    </xf>
    <xf numFmtId="0" fontId="11" fillId="0" borderId="0" xfId="0" applyFont="1"/>
    <xf numFmtId="0" fontId="11" fillId="6" borderId="0" xfId="0" applyFont="1" applyFill="1"/>
    <xf numFmtId="0" fontId="11" fillId="4" borderId="0" xfId="0" applyFont="1" applyFill="1"/>
    <xf numFmtId="0" fontId="51" fillId="4" borderId="11" xfId="0" applyFont="1" applyFill="1" applyBorder="1" applyAlignment="1">
      <alignment horizontal="center"/>
    </xf>
    <xf numFmtId="0" fontId="51" fillId="4" borderId="11" xfId="0" applyFont="1" applyFill="1" applyBorder="1" applyAlignment="1">
      <alignment horizontal="center" vertical="center" wrapText="1"/>
    </xf>
    <xf numFmtId="167" fontId="20" fillId="0" borderId="0" xfId="4" applyNumberFormat="1" applyFont="1" applyFill="1" applyAlignment="1">
      <alignment horizontal="center" vertical="center"/>
    </xf>
    <xf numFmtId="167" fontId="28" fillId="0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0" fontId="11" fillId="0" borderId="0" xfId="0" applyFont="1" applyFill="1"/>
    <xf numFmtId="0" fontId="53" fillId="4" borderId="11" xfId="0" applyFont="1" applyFill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/>
    </xf>
    <xf numFmtId="0" fontId="11" fillId="0" borderId="0" xfId="4" applyFont="1" applyFill="1" applyBorder="1"/>
    <xf numFmtId="0" fontId="11" fillId="0" borderId="0" xfId="4" applyFont="1" applyFill="1"/>
    <xf numFmtId="0" fontId="47" fillId="0" borderId="0" xfId="4" applyFont="1" applyFill="1" applyAlignment="1">
      <alignment horizontal="center" vertical="center"/>
    </xf>
    <xf numFmtId="0" fontId="52" fillId="4" borderId="11" xfId="4" applyFont="1" applyFill="1" applyBorder="1" applyAlignment="1">
      <alignment horizontal="center" vertical="center"/>
    </xf>
    <xf numFmtId="0" fontId="52" fillId="4" borderId="11" xfId="4" applyFont="1" applyFill="1" applyBorder="1" applyAlignment="1">
      <alignment horizontal="center" vertical="center" wrapText="1"/>
    </xf>
    <xf numFmtId="167" fontId="20" fillId="0" borderId="0" xfId="4" applyNumberFormat="1" applyFont="1" applyFill="1" applyAlignment="1">
      <alignment horizontal="left" vertical="center"/>
    </xf>
    <xf numFmtId="0" fontId="20" fillId="0" borderId="11" xfId="4" quotePrefix="1" applyFont="1" applyFill="1" applyBorder="1" applyAlignment="1">
      <alignment horizontal="center" vertical="center"/>
    </xf>
    <xf numFmtId="0" fontId="52" fillId="6" borderId="11" xfId="4" applyFont="1" applyFill="1" applyBorder="1" applyAlignment="1">
      <alignment horizontal="left" vertical="center" wrapText="1"/>
    </xf>
    <xf numFmtId="0" fontId="47" fillId="0" borderId="0" xfId="4" applyFont="1" applyFill="1" applyBorder="1" applyAlignment="1">
      <alignment horizontal="center" vertical="center"/>
    </xf>
    <xf numFmtId="0" fontId="20" fillId="21" borderId="0" xfId="4" applyFont="1" applyFill="1" applyAlignment="1">
      <alignment horizontal="center" vertical="center"/>
    </xf>
    <xf numFmtId="0" fontId="52" fillId="4" borderId="11" xfId="4" applyFont="1" applyFill="1" applyBorder="1" applyAlignment="1">
      <alignment horizontal="left" vertical="center" wrapText="1"/>
    </xf>
    <xf numFmtId="0" fontId="47" fillId="0" borderId="0" xfId="4" applyFont="1" applyFill="1" applyBorder="1" applyAlignment="1">
      <alignment horizontal="left" vertical="center"/>
    </xf>
    <xf numFmtId="0" fontId="52" fillId="0" borderId="11" xfId="4" applyFont="1" applyFill="1" applyBorder="1" applyAlignment="1">
      <alignment horizontal="left" vertical="center" wrapText="1"/>
    </xf>
    <xf numFmtId="2" fontId="20" fillId="0" borderId="0" xfId="4" applyNumberFormat="1" applyFont="1" applyFill="1" applyBorder="1" applyAlignment="1">
      <alignment horizontal="center" vertical="center"/>
    </xf>
    <xf numFmtId="167" fontId="20" fillId="0" borderId="0" xfId="4" applyNumberFormat="1" applyFont="1" applyFill="1" applyAlignment="1">
      <alignment horizontal="right" vertical="center"/>
    </xf>
    <xf numFmtId="0" fontId="20" fillId="0" borderId="0" xfId="4" applyFont="1" applyFill="1"/>
    <xf numFmtId="0" fontId="20" fillId="4" borderId="0" xfId="4" applyFont="1" applyFill="1"/>
    <xf numFmtId="0" fontId="11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50" fillId="0" borderId="0" xfId="4" applyFont="1" applyFill="1" applyAlignment="1">
      <alignment vertical="center"/>
    </xf>
    <xf numFmtId="167" fontId="20" fillId="15" borderId="0" xfId="4" applyNumberFormat="1" applyFont="1" applyFill="1" applyAlignment="1">
      <alignment horizontal="center" vertical="center"/>
    </xf>
    <xf numFmtId="0" fontId="47" fillId="6" borderId="0" xfId="4" applyFont="1" applyFill="1" applyAlignment="1">
      <alignment horizontal="left" vertical="center"/>
    </xf>
    <xf numFmtId="0" fontId="20" fillId="15" borderId="11" xfId="4" applyFont="1" applyFill="1" applyBorder="1" applyAlignment="1">
      <alignment horizontal="center" vertical="center"/>
    </xf>
    <xf numFmtId="164" fontId="20" fillId="3" borderId="11" xfId="4" applyNumberFormat="1" applyFont="1" applyFill="1" applyBorder="1" applyAlignment="1">
      <alignment horizontal="center" vertical="center"/>
    </xf>
    <xf numFmtId="0" fontId="20" fillId="3" borderId="0" xfId="4" applyFont="1" applyFill="1" applyAlignment="1">
      <alignment horizontal="left" vertical="center"/>
    </xf>
    <xf numFmtId="0" fontId="20" fillId="0" borderId="0" xfId="4" applyFont="1" applyFill="1" applyAlignment="1">
      <alignment horizontal="right" vertical="center"/>
    </xf>
    <xf numFmtId="0" fontId="55" fillId="0" borderId="0" xfId="4" applyFont="1" applyFill="1" applyAlignment="1">
      <alignment horizontal="left" vertical="center"/>
    </xf>
    <xf numFmtId="0" fontId="52" fillId="0" borderId="11" xfId="4" applyFont="1" applyFill="1" applyBorder="1" applyAlignment="1">
      <alignment horizontal="center" vertical="center"/>
    </xf>
    <xf numFmtId="0" fontId="52" fillId="0" borderId="11" xfId="4" applyFont="1" applyFill="1" applyBorder="1" applyAlignment="1">
      <alignment horizontal="center" vertical="center" wrapText="1"/>
    </xf>
    <xf numFmtId="0" fontId="20" fillId="0" borderId="11" xfId="4" applyFont="1" applyFill="1" applyBorder="1" applyAlignment="1">
      <alignment wrapText="1"/>
    </xf>
    <xf numFmtId="2" fontId="20" fillId="0" borderId="11" xfId="4" applyNumberFormat="1" applyFont="1" applyFill="1" applyBorder="1" applyAlignment="1">
      <alignment vertical="center"/>
    </xf>
    <xf numFmtId="0" fontId="20" fillId="0" borderId="11" xfId="4" applyFont="1" applyFill="1" applyBorder="1" applyAlignment="1">
      <alignment vertical="center" wrapText="1"/>
    </xf>
    <xf numFmtId="0" fontId="55" fillId="0" borderId="0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center" vertical="center"/>
    </xf>
    <xf numFmtId="0" fontId="20" fillId="6" borderId="11" xfId="4" applyFont="1" applyFill="1" applyBorder="1" applyAlignment="1">
      <alignment vertical="center" wrapText="1"/>
    </xf>
    <xf numFmtId="2" fontId="20" fillId="6" borderId="36" xfId="4" applyNumberFormat="1" applyFont="1" applyFill="1" applyBorder="1" applyAlignment="1">
      <alignment vertical="center"/>
    </xf>
    <xf numFmtId="0" fontId="20" fillId="6" borderId="11" xfId="4" applyFont="1" applyFill="1" applyBorder="1" applyAlignment="1">
      <alignment horizontal="left" vertical="top" wrapText="1"/>
    </xf>
    <xf numFmtId="0" fontId="20" fillId="0" borderId="11" xfId="4" applyFont="1" applyFill="1" applyBorder="1" applyAlignment="1">
      <alignment horizontal="left" vertical="top" wrapText="1"/>
    </xf>
    <xf numFmtId="2" fontId="55" fillId="0" borderId="0" xfId="4" applyNumberFormat="1" applyFont="1" applyFill="1" applyAlignment="1">
      <alignment horizontal="left" vertical="center"/>
    </xf>
    <xf numFmtId="0" fontId="20" fillId="0" borderId="0" xfId="4" applyFont="1" applyFill="1" applyAlignment="1">
      <alignment horizontal="center"/>
    </xf>
    <xf numFmtId="0" fontId="20" fillId="0" borderId="0" xfId="4" applyFont="1" applyFill="1" applyAlignment="1">
      <alignment horizontal="right"/>
    </xf>
    <xf numFmtId="0" fontId="55" fillId="0" borderId="0" xfId="4" applyFont="1" applyFill="1" applyAlignment="1">
      <alignment horizontal="left"/>
    </xf>
    <xf numFmtId="167" fontId="20" fillId="3" borderId="0" xfId="4" applyNumberFormat="1" applyFont="1" applyFill="1" applyAlignment="1">
      <alignment horizontal="right" vertical="center"/>
    </xf>
    <xf numFmtId="167" fontId="20" fillId="14" borderId="0" xfId="4" applyNumberFormat="1" applyFont="1" applyFill="1" applyAlignment="1">
      <alignment horizontal="right" vertical="center"/>
    </xf>
    <xf numFmtId="0" fontId="20" fillId="3" borderId="11" xfId="4" applyFont="1" applyFill="1" applyBorder="1" applyAlignment="1">
      <alignment horizontal="center" vertical="center"/>
    </xf>
    <xf numFmtId="0" fontId="20" fillId="3" borderId="36" xfId="4" applyFont="1" applyFill="1" applyBorder="1" applyAlignment="1">
      <alignment vertical="center"/>
    </xf>
    <xf numFmtId="43" fontId="13" fillId="0" borderId="11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43" fontId="13" fillId="0" borderId="11" xfId="3" applyFont="1" applyFill="1" applyBorder="1" applyAlignment="1">
      <alignment horizontal="center" vertical="center" wrapText="1"/>
    </xf>
    <xf numFmtId="43" fontId="12" fillId="0" borderId="11" xfId="3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43" fontId="13" fillId="6" borderId="11" xfId="3" applyFont="1" applyFill="1" applyBorder="1" applyAlignment="1">
      <alignment horizontal="center" vertical="center" wrapText="1"/>
    </xf>
    <xf numFmtId="164" fontId="56" fillId="6" borderId="11" xfId="5" applyFont="1" applyFill="1" applyBorder="1" applyAlignment="1">
      <alignment horizontal="justify" vertical="justify" wrapText="1"/>
    </xf>
    <xf numFmtId="0" fontId="57" fillId="6" borderId="11" xfId="0" applyFont="1" applyFill="1" applyBorder="1" applyAlignment="1">
      <alignment horizontal="center" vertical="center"/>
    </xf>
    <xf numFmtId="0" fontId="20" fillId="6" borderId="11" xfId="4" quotePrefix="1" applyFont="1" applyFill="1" applyBorder="1" applyAlignment="1">
      <alignment horizontal="center" vertical="center"/>
    </xf>
    <xf numFmtId="0" fontId="20" fillId="6" borderId="0" xfId="4" applyFont="1" applyFill="1" applyAlignment="1">
      <alignment horizontal="left" vertical="center"/>
    </xf>
    <xf numFmtId="0" fontId="47" fillId="0" borderId="0" xfId="4" applyFont="1" applyFill="1"/>
    <xf numFmtId="2" fontId="20" fillId="6" borderId="0" xfId="4" applyNumberFormat="1" applyFont="1" applyFill="1"/>
    <xf numFmtId="0" fontId="20" fillId="6" borderId="0" xfId="4" applyFont="1" applyFill="1"/>
    <xf numFmtId="2" fontId="5" fillId="10" borderId="0" xfId="4" applyNumberFormat="1" applyFont="1" applyFill="1" applyAlignment="1">
      <alignment vertical="center"/>
    </xf>
    <xf numFmtId="0" fontId="5" fillId="10" borderId="0" xfId="4" applyFont="1" applyFill="1"/>
    <xf numFmtId="0" fontId="5" fillId="10" borderId="0" xfId="4" applyFont="1" applyFill="1" applyAlignment="1">
      <alignment horizontal="center"/>
    </xf>
    <xf numFmtId="0" fontId="13" fillId="0" borderId="0" xfId="0" quotePrefix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vertical="center" wrapText="1"/>
    </xf>
    <xf numFmtId="43" fontId="13" fillId="0" borderId="0" xfId="0" applyNumberFormat="1" applyFont="1" applyFill="1" applyBorder="1" applyAlignment="1">
      <alignment horizontal="center" vertical="center" wrapText="1"/>
    </xf>
    <xf numFmtId="0" fontId="24" fillId="9" borderId="72" xfId="0" applyFont="1" applyFill="1" applyBorder="1" applyAlignment="1">
      <alignment vertical="center"/>
    </xf>
    <xf numFmtId="0" fontId="24" fillId="9" borderId="72" xfId="0" applyFont="1" applyFill="1" applyBorder="1" applyAlignment="1">
      <alignment horizontal="center" vertical="center"/>
    </xf>
    <xf numFmtId="2" fontId="25" fillId="6" borderId="9" xfId="0" applyNumberFormat="1" applyFont="1" applyFill="1" applyBorder="1" applyAlignment="1">
      <alignment horizontal="center" vertical="center"/>
    </xf>
    <xf numFmtId="2" fontId="25" fillId="6" borderId="48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43" fontId="19" fillId="0" borderId="0" xfId="3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/>
    </xf>
    <xf numFmtId="164" fontId="20" fillId="6" borderId="11" xfId="4" applyNumberFormat="1" applyFont="1" applyFill="1" applyBorder="1" applyAlignment="1">
      <alignment vertical="center"/>
    </xf>
    <xf numFmtId="2" fontId="20" fillId="6" borderId="11" xfId="4" applyNumberFormat="1" applyFont="1" applyFill="1" applyBorder="1" applyAlignment="1">
      <alignment vertical="center"/>
    </xf>
    <xf numFmtId="0" fontId="0" fillId="0" borderId="0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20" fillId="15" borderId="11" xfId="4" applyFont="1" applyFill="1" applyBorder="1" applyAlignment="1">
      <alignment horizontal="left" vertical="center" wrapText="1"/>
    </xf>
    <xf numFmtId="2" fontId="20" fillId="15" borderId="11" xfId="4" applyNumberFormat="1" applyFont="1" applyFill="1" applyBorder="1" applyAlignment="1">
      <alignment horizontal="center" vertical="center"/>
    </xf>
    <xf numFmtId="2" fontId="20" fillId="15" borderId="0" xfId="4" applyNumberFormat="1" applyFont="1" applyFill="1" applyBorder="1" applyAlignment="1">
      <alignment horizontal="center" vertical="center"/>
    </xf>
    <xf numFmtId="0" fontId="20" fillId="15" borderId="0" xfId="4" applyFont="1" applyFill="1" applyAlignment="1">
      <alignment horizontal="left" vertical="center"/>
    </xf>
    <xf numFmtId="43" fontId="3" fillId="6" borderId="0" xfId="0" applyNumberFormat="1" applyFont="1" applyFill="1" applyBorder="1" applyAlignment="1">
      <alignment horizontal="center" vertical="center" wrapText="1"/>
    </xf>
    <xf numFmtId="10" fontId="3" fillId="6" borderId="0" xfId="2" applyNumberFormat="1" applyFont="1" applyFill="1" applyBorder="1" applyAlignment="1">
      <alignment horizontal="center" vertical="center" wrapText="1"/>
    </xf>
    <xf numFmtId="0" fontId="11" fillId="0" borderId="0" xfId="4" applyFont="1" applyBorder="1"/>
    <xf numFmtId="0" fontId="60" fillId="22" borderId="58" xfId="4" applyFont="1" applyFill="1" applyBorder="1" applyAlignment="1">
      <alignment horizontal="center"/>
    </xf>
    <xf numFmtId="0" fontId="11" fillId="0" borderId="22" xfId="4" applyFont="1" applyBorder="1"/>
    <xf numFmtId="0" fontId="11" fillId="0" borderId="0" xfId="4" applyFont="1" applyBorder="1" applyAlignment="1">
      <alignment horizontal="center"/>
    </xf>
    <xf numFmtId="10" fontId="3" fillId="0" borderId="23" xfId="12" applyNumberFormat="1" applyFont="1" applyBorder="1" applyAlignment="1">
      <alignment horizontal="center"/>
    </xf>
    <xf numFmtId="0" fontId="11" fillId="0" borderId="65" xfId="4" applyFont="1" applyBorder="1"/>
    <xf numFmtId="10" fontId="3" fillId="0" borderId="58" xfId="12" applyNumberFormat="1" applyFont="1" applyBorder="1" applyAlignment="1">
      <alignment horizontal="center"/>
    </xf>
    <xf numFmtId="0" fontId="11" fillId="0" borderId="73" xfId="4" applyFont="1" applyBorder="1"/>
    <xf numFmtId="0" fontId="18" fillId="0" borderId="74" xfId="4" applyFont="1" applyBorder="1" applyAlignment="1">
      <alignment horizontal="right"/>
    </xf>
    <xf numFmtId="10" fontId="18" fillId="0" borderId="75" xfId="4" applyNumberFormat="1" applyFont="1" applyBorder="1" applyAlignment="1">
      <alignment horizontal="center"/>
    </xf>
    <xf numFmtId="0" fontId="18" fillId="0" borderId="0" xfId="4" applyFont="1" applyBorder="1" applyAlignment="1">
      <alignment horizontal="right"/>
    </xf>
    <xf numFmtId="10" fontId="18" fillId="0" borderId="23" xfId="4" applyNumberFormat="1" applyFont="1" applyBorder="1" applyAlignment="1">
      <alignment horizontal="center"/>
    </xf>
    <xf numFmtId="0" fontId="60" fillId="22" borderId="63" xfId="4" applyFont="1" applyFill="1" applyBorder="1" applyAlignment="1">
      <alignment horizontal="center"/>
    </xf>
    <xf numFmtId="0" fontId="11" fillId="0" borderId="50" xfId="4" applyFont="1" applyBorder="1"/>
    <xf numFmtId="0" fontId="11" fillId="0" borderId="3" xfId="4" applyFont="1" applyBorder="1"/>
    <xf numFmtId="10" fontId="3" fillId="0" borderId="63" xfId="12" applyNumberFormat="1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10" fontId="60" fillId="22" borderId="63" xfId="12" applyNumberFormat="1" applyFont="1" applyFill="1" applyBorder="1" applyAlignment="1">
      <alignment horizontal="center"/>
    </xf>
    <xf numFmtId="0" fontId="11" fillId="0" borderId="22" xfId="4" applyFont="1" applyBorder="1" applyAlignment="1">
      <alignment horizontal="left"/>
    </xf>
    <xf numFmtId="0" fontId="49" fillId="0" borderId="22" xfId="4" applyFont="1" applyBorder="1" applyAlignment="1">
      <alignment horizontal="left"/>
    </xf>
    <xf numFmtId="0" fontId="49" fillId="0" borderId="0" xfId="4" applyFont="1" applyBorder="1"/>
    <xf numFmtId="10" fontId="49" fillId="0" borderId="23" xfId="12" applyNumberFormat="1" applyFont="1" applyBorder="1" applyAlignment="1">
      <alignment horizontal="center"/>
    </xf>
    <xf numFmtId="0" fontId="11" fillId="0" borderId="76" xfId="4" applyFont="1" applyBorder="1"/>
    <xf numFmtId="0" fontId="18" fillId="0" borderId="6" xfId="4" applyFont="1" applyBorder="1" applyAlignment="1">
      <alignment horizontal="right"/>
    </xf>
    <xf numFmtId="10" fontId="18" fillId="0" borderId="77" xfId="4" applyNumberFormat="1" applyFont="1" applyBorder="1" applyAlignment="1">
      <alignment horizontal="center"/>
    </xf>
    <xf numFmtId="0" fontId="31" fillId="22" borderId="50" xfId="4" applyFont="1" applyFill="1" applyBorder="1" applyAlignment="1">
      <alignment vertical="center"/>
    </xf>
    <xf numFmtId="0" fontId="31" fillId="22" borderId="3" xfId="4" applyFont="1" applyFill="1" applyBorder="1" applyAlignment="1">
      <alignment vertical="center"/>
    </xf>
    <xf numFmtId="10" fontId="14" fillId="22" borderId="63" xfId="2" applyNumberFormat="1" applyFont="1" applyFill="1" applyBorder="1" applyAlignment="1" applyProtection="1">
      <alignment horizontal="left" vertical="center"/>
    </xf>
    <xf numFmtId="0" fontId="11" fillId="0" borderId="6" xfId="4" applyFont="1" applyBorder="1"/>
    <xf numFmtId="10" fontId="3" fillId="0" borderId="77" xfId="12" applyNumberFormat="1" applyFont="1" applyBorder="1" applyAlignment="1">
      <alignment horizontal="center"/>
    </xf>
    <xf numFmtId="0" fontId="62" fillId="0" borderId="22" xfId="4" applyFont="1" applyBorder="1" applyAlignment="1">
      <alignment vertical="center"/>
    </xf>
    <xf numFmtId="0" fontId="62" fillId="0" borderId="0" xfId="4" applyFont="1" applyBorder="1" applyAlignment="1">
      <alignment vertical="center"/>
    </xf>
    <xf numFmtId="0" fontId="11" fillId="0" borderId="23" xfId="4" applyFont="1" applyBorder="1" applyAlignment="1">
      <alignment vertical="center"/>
    </xf>
    <xf numFmtId="0" fontId="11" fillId="0" borderId="65" xfId="4" applyFont="1" applyBorder="1" applyAlignment="1">
      <alignment vertical="center"/>
    </xf>
    <xf numFmtId="0" fontId="62" fillId="0" borderId="22" xfId="4" applyFont="1" applyBorder="1"/>
    <xf numFmtId="0" fontId="11" fillId="0" borderId="23" xfId="4" applyFont="1" applyBorder="1"/>
    <xf numFmtId="0" fontId="65" fillId="0" borderId="22" xfId="4" applyFont="1" applyBorder="1" applyAlignment="1">
      <alignment horizontal="center" vertical="center"/>
    </xf>
    <xf numFmtId="0" fontId="65" fillId="0" borderId="0" xfId="4" applyFont="1" applyBorder="1" applyAlignment="1">
      <alignment horizontal="center" vertical="center"/>
    </xf>
    <xf numFmtId="0" fontId="66" fillId="0" borderId="23" xfId="4" applyFont="1" applyBorder="1" applyAlignment="1">
      <alignment vertical="center"/>
    </xf>
    <xf numFmtId="0" fontId="67" fillId="0" borderId="24" xfId="4" applyFont="1" applyBorder="1"/>
    <xf numFmtId="0" fontId="47" fillId="0" borderId="25" xfId="4" applyFont="1" applyBorder="1" applyAlignment="1">
      <alignment horizontal="center"/>
    </xf>
    <xf numFmtId="0" fontId="47" fillId="0" borderId="27" xfId="4" applyFont="1" applyBorder="1"/>
    <xf numFmtId="0" fontId="67" fillId="0" borderId="0" xfId="4" applyFont="1" applyBorder="1"/>
    <xf numFmtId="0" fontId="47" fillId="0" borderId="0" xfId="4" applyFont="1" applyBorder="1" applyAlignment="1">
      <alignment horizontal="center"/>
    </xf>
    <xf numFmtId="0" fontId="47" fillId="0" borderId="0" xfId="4" applyFont="1" applyBorder="1"/>
    <xf numFmtId="10" fontId="3" fillId="0" borderId="23" xfId="13" applyNumberFormat="1" applyFont="1" applyBorder="1" applyAlignment="1">
      <alignment horizontal="center"/>
    </xf>
    <xf numFmtId="10" fontId="3" fillId="0" borderId="58" xfId="13" applyNumberFormat="1" applyFont="1" applyBorder="1" applyAlignment="1">
      <alignment horizontal="center"/>
    </xf>
    <xf numFmtId="10" fontId="3" fillId="0" borderId="63" xfId="13" applyNumberFormat="1" applyFont="1" applyBorder="1" applyAlignment="1">
      <alignment horizontal="center"/>
    </xf>
    <xf numFmtId="10" fontId="60" fillId="22" borderId="63" xfId="13" applyNumberFormat="1" applyFont="1" applyFill="1" applyBorder="1" applyAlignment="1">
      <alignment horizontal="center"/>
    </xf>
    <xf numFmtId="10" fontId="49" fillId="0" borderId="23" xfId="13" applyNumberFormat="1" applyFont="1" applyBorder="1" applyAlignment="1">
      <alignment horizontal="center"/>
    </xf>
    <xf numFmtId="10" fontId="3" fillId="0" borderId="77" xfId="13" applyNumberFormat="1" applyFont="1" applyBorder="1" applyAlignment="1">
      <alignment horizontal="center"/>
    </xf>
    <xf numFmtId="2" fontId="20" fillId="6" borderId="36" xfId="4" applyNumberFormat="1" applyFont="1" applyFill="1" applyBorder="1" applyAlignment="1">
      <alignment horizontal="center" vertical="center"/>
    </xf>
    <xf numFmtId="10" fontId="17" fillId="0" borderId="0" xfId="2" applyNumberFormat="1" applyFont="1" applyFill="1" applyBorder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wrapText="1"/>
    </xf>
    <xf numFmtId="43" fontId="19" fillId="0" borderId="0" xfId="3" applyFont="1" applyFill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43" fontId="13" fillId="0" borderId="0" xfId="3" applyFont="1" applyFill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43" fontId="13" fillId="0" borderId="0" xfId="3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2" fontId="5" fillId="0" borderId="0" xfId="4" applyNumberFormat="1" applyFont="1" applyFill="1" applyAlignment="1">
      <alignment vertical="center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164" fontId="5" fillId="0" borderId="0" xfId="5" applyFont="1" applyFill="1" applyBorder="1" applyAlignment="1">
      <alignment horizontal="center" vertical="center"/>
    </xf>
    <xf numFmtId="2" fontId="5" fillId="0" borderId="0" xfId="4" applyNumberFormat="1" applyFont="1" applyFill="1" applyBorder="1" applyAlignment="1">
      <alignment horizontal="center" vertical="center"/>
    </xf>
    <xf numFmtId="0" fontId="0" fillId="0" borderId="0" xfId="0" applyFill="1"/>
    <xf numFmtId="0" fontId="59" fillId="0" borderId="0" xfId="4" applyFont="1" applyFill="1" applyBorder="1" applyAlignment="1">
      <alignment vertical="center" wrapText="1"/>
    </xf>
    <xf numFmtId="0" fontId="5" fillId="0" borderId="0" xfId="8" quotePrefix="1" applyFont="1" applyFill="1" applyBorder="1" applyAlignment="1">
      <alignment horizontal="center" vertical="center"/>
    </xf>
    <xf numFmtId="0" fontId="5" fillId="0" borderId="0" xfId="4" applyFont="1" applyFill="1" applyAlignment="1">
      <alignment wrapText="1"/>
    </xf>
    <xf numFmtId="0" fontId="5" fillId="0" borderId="0" xfId="4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2" fontId="0" fillId="7" borderId="34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7" borderId="38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2" fontId="0" fillId="4" borderId="34" xfId="0" applyNumberFormat="1" applyFill="1" applyBorder="1" applyAlignment="1">
      <alignment horizontal="center" vertical="center" wrapText="1"/>
    </xf>
    <xf numFmtId="2" fontId="0" fillId="4" borderId="36" xfId="0" applyNumberFormat="1" applyFill="1" applyBorder="1" applyAlignment="1">
      <alignment horizontal="center" vertical="center" wrapText="1"/>
    </xf>
    <xf numFmtId="2" fontId="0" fillId="4" borderId="40" xfId="0" applyNumberFormat="1" applyFill="1" applyBorder="1" applyAlignment="1">
      <alignment horizontal="center" vertical="center" wrapText="1"/>
    </xf>
    <xf numFmtId="2" fontId="25" fillId="4" borderId="36" xfId="0" applyNumberFormat="1" applyFont="1" applyFill="1" applyBorder="1" applyAlignment="1">
      <alignment horizontal="center" vertical="center" wrapText="1"/>
    </xf>
    <xf numFmtId="2" fontId="0" fillId="4" borderId="38" xfId="0" applyNumberForma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3" fontId="0" fillId="4" borderId="34" xfId="3" applyFont="1" applyFill="1" applyBorder="1" applyAlignment="1">
      <alignment horizontal="center" vertical="center" wrapText="1"/>
    </xf>
    <xf numFmtId="2" fontId="0" fillId="4" borderId="46" xfId="0" applyNumberFormat="1" applyFill="1" applyBorder="1" applyAlignment="1">
      <alignment horizontal="center" vertical="center" wrapText="1"/>
    </xf>
    <xf numFmtId="2" fontId="0" fillId="7" borderId="36" xfId="0" applyNumberFormat="1" applyFill="1" applyBorder="1" applyAlignment="1">
      <alignment horizontal="center" vertical="center" wrapText="1"/>
    </xf>
    <xf numFmtId="2" fontId="0" fillId="23" borderId="0" xfId="0" applyNumberFormat="1" applyFill="1" applyAlignment="1">
      <alignment horizontal="center" vertical="center"/>
    </xf>
    <xf numFmtId="0" fontId="0" fillId="23" borderId="0" xfId="0" applyFill="1"/>
    <xf numFmtId="2" fontId="25" fillId="4" borderId="8" xfId="0" applyNumberFormat="1" applyFont="1" applyFill="1" applyBorder="1" applyAlignment="1">
      <alignment horizontal="center" vertical="center"/>
    </xf>
    <xf numFmtId="2" fontId="25" fillId="4" borderId="9" xfId="0" applyNumberFormat="1" applyFont="1" applyFill="1" applyBorder="1" applyAlignment="1">
      <alignment horizontal="center" vertical="center"/>
    </xf>
    <xf numFmtId="2" fontId="25" fillId="4" borderId="52" xfId="0" applyNumberFormat="1" applyFon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25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3" fillId="0" borderId="35" xfId="0" applyFont="1" applyFill="1" applyBorder="1" applyAlignment="1">
      <alignment vertical="center" wrapText="1"/>
    </xf>
    <xf numFmtId="0" fontId="19" fillId="0" borderId="35" xfId="0" applyFont="1" applyFill="1" applyBorder="1" applyAlignment="1">
      <alignment vertical="center" wrapText="1"/>
    </xf>
    <xf numFmtId="43" fontId="19" fillId="0" borderId="11" xfId="3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" fontId="19" fillId="0" borderId="0" xfId="4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wrapText="1"/>
    </xf>
    <xf numFmtId="0" fontId="19" fillId="0" borderId="0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vertical="center"/>
    </xf>
    <xf numFmtId="0" fontId="13" fillId="7" borderId="0" xfId="0" applyFont="1" applyFill="1" applyBorder="1" applyAlignment="1">
      <alignment vertical="center" wrapText="1"/>
    </xf>
    <xf numFmtId="0" fontId="19" fillId="7" borderId="0" xfId="4" applyFont="1" applyFill="1"/>
    <xf numFmtId="2" fontId="19" fillId="0" borderId="0" xfId="4" applyNumberFormat="1" applyFont="1" applyFill="1" applyBorder="1" applyAlignment="1">
      <alignment vertical="center"/>
    </xf>
    <xf numFmtId="0" fontId="19" fillId="0" borderId="0" xfId="4" quotePrefix="1" applyFont="1" applyFill="1" applyBorder="1" applyAlignment="1">
      <alignment horizontal="center" vertical="center" wrapText="1"/>
    </xf>
    <xf numFmtId="0" fontId="0" fillId="7" borderId="0" xfId="0" applyFill="1"/>
    <xf numFmtId="0" fontId="19" fillId="0" borderId="0" xfId="4" applyFont="1" applyFill="1" applyBorder="1" applyAlignment="1">
      <alignment horizontal="right" vertical="center"/>
    </xf>
    <xf numFmtId="0" fontId="19" fillId="0" borderId="0" xfId="4" applyFont="1" applyFill="1"/>
    <xf numFmtId="0" fontId="19" fillId="0" borderId="0" xfId="4" applyFont="1" applyFill="1" applyBorder="1" applyAlignment="1">
      <alignment horizontal="right"/>
    </xf>
    <xf numFmtId="0" fontId="19" fillId="0" borderId="0" xfId="4" applyFont="1" applyFill="1" applyAlignment="1">
      <alignment vertical="center"/>
    </xf>
    <xf numFmtId="0" fontId="19" fillId="0" borderId="0" xfId="4" applyFont="1"/>
    <xf numFmtId="0" fontId="19" fillId="0" borderId="0" xfId="4" applyFont="1" applyFill="1" applyBorder="1" applyAlignment="1">
      <alignment horizontal="right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3" fontId="19" fillId="0" borderId="0" xfId="3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3" fontId="3" fillId="0" borderId="0" xfId="3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43" fontId="11" fillId="0" borderId="0" xfId="3" applyFont="1" applyFill="1" applyBorder="1" applyAlignment="1">
      <alignment vertical="center" wrapText="1"/>
    </xf>
    <xf numFmtId="43" fontId="3" fillId="0" borderId="0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3" fillId="0" borderId="0" xfId="3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9" fillId="19" borderId="0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25" fillId="0" borderId="0" xfId="0" applyFont="1" applyFill="1"/>
    <xf numFmtId="0" fontId="25" fillId="0" borderId="0" xfId="0" applyFont="1" applyFill="1" applyAlignment="1">
      <alignment wrapText="1"/>
    </xf>
    <xf numFmtId="4" fontId="25" fillId="0" borderId="0" xfId="0" applyNumberFormat="1" applyFont="1" applyFill="1"/>
    <xf numFmtId="0" fontId="19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19" fillId="0" borderId="0" xfId="3" applyNumberFormat="1" applyFont="1" applyFill="1" applyBorder="1" applyAlignment="1">
      <alignment horizontal="center" vertical="center" wrapText="1"/>
    </xf>
    <xf numFmtId="43" fontId="19" fillId="0" borderId="0" xfId="3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52" fillId="4" borderId="11" xfId="4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top" wrapText="1"/>
    </xf>
    <xf numFmtId="17" fontId="3" fillId="0" borderId="6" xfId="0" applyNumberFormat="1" applyFont="1" applyBorder="1" applyAlignment="1">
      <alignment vertical="top" wrapText="1"/>
    </xf>
    <xf numFmtId="17" fontId="3" fillId="0" borderId="0" xfId="0" applyNumberFormat="1" applyFont="1" applyBorder="1" applyAlignment="1">
      <alignment horizontal="center" vertical="center" wrapText="1"/>
    </xf>
    <xf numFmtId="0" fontId="20" fillId="0" borderId="33" xfId="4" applyFont="1" applyFill="1" applyBorder="1" applyAlignment="1">
      <alignment horizontal="center" vertical="center"/>
    </xf>
    <xf numFmtId="0" fontId="20" fillId="0" borderId="33" xfId="4" applyFont="1" applyFill="1" applyBorder="1" applyAlignment="1">
      <alignment horizontal="left" vertical="center" wrapText="1"/>
    </xf>
    <xf numFmtId="2" fontId="20" fillId="0" borderId="33" xfId="4" applyNumberFormat="1" applyFont="1" applyFill="1" applyBorder="1" applyAlignment="1">
      <alignment horizontal="center" vertical="center"/>
    </xf>
    <xf numFmtId="0" fontId="43" fillId="4" borderId="39" xfId="4" applyFont="1" applyFill="1" applyBorder="1" applyAlignment="1">
      <alignment horizontal="center" vertical="center"/>
    </xf>
    <xf numFmtId="0" fontId="43" fillId="4" borderId="12" xfId="4" applyFont="1" applyFill="1" applyBorder="1" applyAlignment="1">
      <alignment horizontal="center" vertical="center"/>
    </xf>
    <xf numFmtId="0" fontId="43" fillId="4" borderId="12" xfId="4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2" fontId="5" fillId="0" borderId="11" xfId="4" applyNumberFormat="1" applyFont="1" applyFill="1" applyBorder="1" applyAlignment="1">
      <alignment vertical="center"/>
    </xf>
    <xf numFmtId="167" fontId="20" fillId="0" borderId="11" xfId="4" applyNumberFormat="1" applyFont="1" applyFill="1" applyBorder="1" applyAlignment="1">
      <alignment horizontal="center" vertical="center"/>
    </xf>
    <xf numFmtId="0" fontId="43" fillId="4" borderId="40" xfId="4" applyFont="1" applyFill="1" applyBorder="1" applyAlignment="1">
      <alignment horizontal="center" vertical="center"/>
    </xf>
    <xf numFmtId="2" fontId="5" fillId="5" borderId="0" xfId="4" applyNumberFormat="1" applyFont="1" applyFill="1" applyAlignment="1">
      <alignment vertical="center" wrapText="1"/>
    </xf>
    <xf numFmtId="0" fontId="51" fillId="4" borderId="11" xfId="0" applyFont="1" applyFill="1" applyBorder="1" applyAlignment="1">
      <alignment horizontal="center" wrapText="1"/>
    </xf>
    <xf numFmtId="0" fontId="11" fillId="4" borderId="0" xfId="4" applyFont="1" applyFill="1" applyAlignment="1">
      <alignment vertical="center" wrapText="1"/>
    </xf>
    <xf numFmtId="0" fontId="72" fillId="0" borderId="0" xfId="4" applyFont="1" applyFill="1" applyBorder="1" applyAlignment="1">
      <alignment horizontal="center"/>
    </xf>
    <xf numFmtId="0" fontId="73" fillId="0" borderId="0" xfId="4" applyFont="1" applyFill="1" applyBorder="1" applyAlignment="1">
      <alignment horizontal="center"/>
    </xf>
    <xf numFmtId="0" fontId="74" fillId="0" borderId="0" xfId="4" applyFont="1" applyFill="1" applyBorder="1" applyAlignment="1">
      <alignment horizontal="center" vertical="center" wrapText="1"/>
    </xf>
    <xf numFmtId="2" fontId="76" fillId="0" borderId="0" xfId="0" applyNumberFormat="1" applyFont="1" applyFill="1" applyBorder="1" applyAlignment="1">
      <alignment horizontal="center" vertical="center"/>
    </xf>
    <xf numFmtId="0" fontId="74" fillId="0" borderId="0" xfId="4" applyFont="1" applyFill="1" applyBorder="1"/>
    <xf numFmtId="0" fontId="75" fillId="0" borderId="0" xfId="4" applyFont="1" applyFill="1"/>
    <xf numFmtId="2" fontId="74" fillId="0" borderId="0" xfId="4" applyNumberFormat="1" applyFont="1" applyFill="1"/>
    <xf numFmtId="0" fontId="74" fillId="0" borderId="0" xfId="4" applyFont="1" applyFill="1"/>
    <xf numFmtId="2" fontId="74" fillId="0" borderId="0" xfId="4" applyNumberFormat="1" applyFont="1" applyFill="1" applyBorder="1"/>
    <xf numFmtId="2" fontId="75" fillId="0" borderId="0" xfId="4" applyNumberFormat="1" applyFont="1" applyFill="1" applyBorder="1"/>
    <xf numFmtId="0" fontId="71" fillId="0" borderId="11" xfId="0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2" fontId="25" fillId="0" borderId="8" xfId="0" applyNumberFormat="1" applyFont="1" applyFill="1" applyBorder="1" applyAlignment="1">
      <alignment horizontal="center" vertical="center"/>
    </xf>
    <xf numFmtId="2" fontId="25" fillId="0" borderId="48" xfId="0" applyNumberFormat="1" applyFont="1" applyFill="1" applyBorder="1" applyAlignment="1">
      <alignment horizontal="center" vertical="center"/>
    </xf>
    <xf numFmtId="2" fontId="25" fillId="0" borderId="52" xfId="0" applyNumberFormat="1" applyFont="1" applyFill="1" applyBorder="1" applyAlignment="1">
      <alignment horizontal="center" vertical="center"/>
    </xf>
    <xf numFmtId="2" fontId="25" fillId="0" borderId="20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39" fillId="0" borderId="9" xfId="0" applyNumberFormat="1" applyFont="1" applyFill="1" applyBorder="1" applyAlignment="1">
      <alignment horizontal="center" vertical="center" wrapText="1"/>
    </xf>
    <xf numFmtId="2" fontId="39" fillId="0" borderId="8" xfId="0" applyNumberFormat="1" applyFont="1" applyFill="1" applyBorder="1" applyAlignment="1">
      <alignment horizontal="center" vertical="center" wrapText="1"/>
    </xf>
    <xf numFmtId="2" fontId="39" fillId="0" borderId="48" xfId="0" applyNumberFormat="1" applyFont="1" applyFill="1" applyBorder="1" applyAlignment="1">
      <alignment horizontal="center" vertical="center" wrapText="1"/>
    </xf>
    <xf numFmtId="2" fontId="39" fillId="0" borderId="36" xfId="0" applyNumberFormat="1" applyFont="1" applyFill="1" applyBorder="1" applyAlignment="1">
      <alignment horizontal="center" vertical="center" wrapText="1"/>
    </xf>
    <xf numFmtId="2" fontId="39" fillId="0" borderId="20" xfId="0" applyNumberFormat="1" applyFont="1" applyFill="1" applyBorder="1" applyAlignment="1">
      <alignment horizontal="center" vertical="center" wrapText="1"/>
    </xf>
    <xf numFmtId="2" fontId="39" fillId="0" borderId="55" xfId="0" applyNumberFormat="1" applyFont="1" applyFill="1" applyBorder="1" applyAlignment="1">
      <alignment horizontal="center" vertical="center" wrapText="1"/>
    </xf>
    <xf numFmtId="0" fontId="56" fillId="13" borderId="11" xfId="15" applyNumberFormat="1" applyFont="1" applyFill="1" applyBorder="1" applyAlignment="1">
      <alignment horizontal="center" vertical="center" wrapText="1"/>
    </xf>
    <xf numFmtId="0" fontId="56" fillId="13" borderId="11" xfId="15" applyNumberFormat="1" applyFont="1" applyFill="1" applyBorder="1" applyAlignment="1">
      <alignment horizontal="left" vertical="center" wrapText="1"/>
    </xf>
    <xf numFmtId="44" fontId="56" fillId="13" borderId="11" xfId="16" applyFont="1" applyFill="1" applyBorder="1" applyAlignment="1">
      <alignment horizontal="center" vertical="center" wrapText="1"/>
    </xf>
    <xf numFmtId="0" fontId="9" fillId="0" borderId="11" xfId="0" quotePrefix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17" fontId="77" fillId="0" borderId="11" xfId="0" quotePrefix="1" applyNumberFormat="1" applyFont="1" applyFill="1" applyBorder="1" applyAlignment="1">
      <alignment horizontal="center" vertical="center"/>
    </xf>
    <xf numFmtId="0" fontId="5" fillId="0" borderId="11" xfId="15" applyNumberFormat="1" applyFont="1" applyFill="1" applyBorder="1" applyAlignment="1">
      <alignment horizontal="center" vertical="center" wrapText="1"/>
    </xf>
    <xf numFmtId="43" fontId="33" fillId="0" borderId="11" xfId="3" applyNumberFormat="1" applyFont="1" applyFill="1" applyBorder="1" applyAlignment="1">
      <alignment horizontal="right" vertical="center"/>
    </xf>
    <xf numFmtId="0" fontId="33" fillId="0" borderId="11" xfId="0" quotePrefix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vertical="center" wrapText="1"/>
    </xf>
    <xf numFmtId="17" fontId="30" fillId="0" borderId="11" xfId="0" quotePrefix="1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43" fontId="9" fillId="0" borderId="11" xfId="3" applyNumberFormat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center" vertical="center"/>
    </xf>
    <xf numFmtId="17" fontId="33" fillId="0" borderId="11" xfId="0" quotePrefix="1" applyNumberFormat="1" applyFont="1" applyFill="1" applyBorder="1" applyAlignment="1">
      <alignment horizontal="center" vertical="center"/>
    </xf>
    <xf numFmtId="43" fontId="4" fillId="0" borderId="11" xfId="3" applyNumberFormat="1" applyFont="1" applyFill="1" applyBorder="1" applyAlignment="1">
      <alignment horizontal="right" vertical="center"/>
    </xf>
    <xf numFmtId="4" fontId="5" fillId="6" borderId="11" xfId="15" applyNumberFormat="1" applyFont="1" applyFill="1" applyBorder="1" applyAlignment="1">
      <alignment horizontal="center" vertical="center" wrapText="1"/>
    </xf>
    <xf numFmtId="4" fontId="5" fillId="0" borderId="11" xfId="15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3" fontId="30" fillId="0" borderId="11" xfId="3" applyNumberFormat="1" applyFont="1" applyFill="1" applyBorder="1" applyAlignment="1">
      <alignment horizontal="right" vertical="center"/>
    </xf>
    <xf numFmtId="0" fontId="5" fillId="0" borderId="0" xfId="15"/>
    <xf numFmtId="17" fontId="4" fillId="0" borderId="11" xfId="0" quotePrefix="1" applyNumberFormat="1" applyFont="1" applyFill="1" applyBorder="1" applyAlignment="1">
      <alignment horizontal="center" vertical="center"/>
    </xf>
    <xf numFmtId="4" fontId="5" fillId="6" borderId="1" xfId="15" applyNumberFormat="1" applyFont="1" applyFill="1" applyBorder="1" applyAlignment="1">
      <alignment horizontal="center" vertical="center" wrapText="1"/>
    </xf>
    <xf numFmtId="4" fontId="56" fillId="6" borderId="11" xfId="15" applyNumberFormat="1" applyFont="1" applyFill="1" applyBorder="1" applyAlignment="1">
      <alignment horizontal="center" vertical="center" wrapText="1"/>
    </xf>
    <xf numFmtId="4" fontId="56" fillId="0" borderId="11" xfId="15" applyNumberFormat="1" applyFont="1" applyFill="1" applyBorder="1" applyAlignment="1">
      <alignment horizontal="center" vertical="center" wrapText="1"/>
    </xf>
    <xf numFmtId="4" fontId="56" fillId="6" borderId="1" xfId="15" applyNumberFormat="1" applyFont="1" applyFill="1" applyBorder="1" applyAlignment="1">
      <alignment horizontal="center" vertical="center" wrapText="1"/>
    </xf>
    <xf numFmtId="0" fontId="5" fillId="7" borderId="1" xfId="15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 wrapText="1"/>
    </xf>
    <xf numFmtId="0" fontId="5" fillId="0" borderId="11" xfId="15" applyFont="1" applyFill="1" applyBorder="1" applyAlignment="1">
      <alignment horizontal="left" vertical="center" wrapText="1"/>
    </xf>
    <xf numFmtId="0" fontId="5" fillId="0" borderId="11" xfId="15" quotePrefix="1" applyFont="1" applyFill="1" applyBorder="1" applyAlignment="1">
      <alignment horizontal="left" vertical="center" wrapText="1"/>
    </xf>
    <xf numFmtId="0" fontId="4" fillId="0" borderId="11" xfId="0" quotePrefix="1" applyFont="1" applyFill="1" applyBorder="1" applyAlignment="1">
      <alignment horizontal="left" vertical="center"/>
    </xf>
    <xf numFmtId="0" fontId="5" fillId="0" borderId="11" xfId="15" applyNumberFormat="1" applyFont="1" applyFill="1" applyBorder="1" applyAlignment="1">
      <alignment horizontal="left" vertical="center" wrapText="1"/>
    </xf>
    <xf numFmtId="43" fontId="33" fillId="0" borderId="11" xfId="3" applyNumberFormat="1" applyFont="1" applyFill="1" applyBorder="1" applyAlignment="1">
      <alignment horizontal="left" vertical="center"/>
    </xf>
    <xf numFmtId="4" fontId="8" fillId="6" borderId="7" xfId="15" applyNumberFormat="1" applyFont="1" applyFill="1" applyBorder="1" applyAlignment="1">
      <alignment horizontal="center" vertical="center" wrapText="1"/>
    </xf>
    <xf numFmtId="0" fontId="5" fillId="0" borderId="11" xfId="15" applyFont="1" applyFill="1" applyBorder="1" applyAlignment="1">
      <alignment horizontal="center" vertical="center" wrapText="1"/>
    </xf>
    <xf numFmtId="4" fontId="8" fillId="6" borderId="2" xfId="15" applyNumberFormat="1" applyFont="1" applyFill="1" applyBorder="1" applyAlignment="1">
      <alignment horizontal="center" vertical="center" wrapText="1"/>
    </xf>
    <xf numFmtId="0" fontId="33" fillId="0" borderId="11" xfId="0" quotePrefix="1" applyNumberFormat="1" applyFont="1" applyFill="1" applyBorder="1" applyAlignment="1">
      <alignment horizontal="center" vertical="center"/>
    </xf>
    <xf numFmtId="0" fontId="30" fillId="0" borderId="11" xfId="0" quotePrefix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horizontal="center" vertical="center"/>
    </xf>
    <xf numFmtId="0" fontId="33" fillId="0" borderId="11" xfId="0" quotePrefix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8" fillId="0" borderId="0" xfId="0" applyFont="1" applyFill="1" applyAlignment="1">
      <alignment horizontal="left"/>
    </xf>
    <xf numFmtId="0" fontId="80" fillId="25" borderId="44" xfId="0" applyFont="1" applyFill="1" applyBorder="1" applyAlignment="1">
      <alignment horizontal="left" vertical="top" wrapText="1"/>
    </xf>
    <xf numFmtId="0" fontId="81" fillId="25" borderId="45" xfId="0" applyFont="1" applyFill="1" applyBorder="1" applyAlignment="1">
      <alignment vertical="top" wrapText="1"/>
    </xf>
    <xf numFmtId="0" fontId="80" fillId="25" borderId="46" xfId="0" applyFont="1" applyFill="1" applyBorder="1" applyAlignment="1">
      <alignment horizontal="center" vertical="top" wrapText="1"/>
    </xf>
    <xf numFmtId="0" fontId="80" fillId="25" borderId="35" xfId="0" applyFont="1" applyFill="1" applyBorder="1" applyAlignment="1">
      <alignment horizontal="left" vertical="top" wrapText="1"/>
    </xf>
    <xf numFmtId="0" fontId="81" fillId="25" borderId="11" xfId="0" applyFont="1" applyFill="1" applyBorder="1" applyAlignment="1">
      <alignment vertical="top" wrapText="1"/>
    </xf>
    <xf numFmtId="0" fontId="80" fillId="25" borderId="37" xfId="0" applyFont="1" applyFill="1" applyBorder="1" applyAlignment="1">
      <alignment horizontal="left" vertical="top" wrapText="1"/>
    </xf>
    <xf numFmtId="0" fontId="81" fillId="25" borderId="26" xfId="0" applyFont="1" applyFill="1" applyBorder="1" applyAlignment="1">
      <alignment vertical="top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2" fillId="25" borderId="83" xfId="0" applyFont="1" applyFill="1" applyBorder="1" applyAlignment="1">
      <alignment horizontal="center" vertical="center" wrapText="1"/>
    </xf>
    <xf numFmtId="0" fontId="82" fillId="25" borderId="84" xfId="0" applyFont="1" applyFill="1" applyBorder="1" applyAlignment="1">
      <alignment horizontal="center" vertical="center" wrapText="1"/>
    </xf>
    <xf numFmtId="0" fontId="82" fillId="25" borderId="85" xfId="0" applyFont="1" applyFill="1" applyBorder="1" applyAlignment="1">
      <alignment horizontal="center" vertical="center" wrapText="1"/>
    </xf>
    <xf numFmtId="0" fontId="80" fillId="26" borderId="83" xfId="0" applyFont="1" applyFill="1" applyBorder="1" applyAlignment="1">
      <alignment horizontal="right" vertical="top" wrapText="1"/>
    </xf>
    <xf numFmtId="0" fontId="80" fillId="26" borderId="84" xfId="0" applyFont="1" applyFill="1" applyBorder="1" applyAlignment="1">
      <alignment horizontal="left" vertical="top" wrapText="1"/>
    </xf>
    <xf numFmtId="0" fontId="80" fillId="26" borderId="84" xfId="0" applyFont="1" applyFill="1" applyBorder="1" applyAlignment="1">
      <alignment horizontal="center" vertical="top" wrapText="1"/>
    </xf>
    <xf numFmtId="0" fontId="80" fillId="26" borderId="84" xfId="0" applyFont="1" applyFill="1" applyBorder="1" applyAlignment="1">
      <alignment horizontal="right" vertical="top" wrapText="1"/>
    </xf>
    <xf numFmtId="0" fontId="80" fillId="26" borderId="86" xfId="0" applyFont="1" applyFill="1" applyBorder="1" applyAlignment="1">
      <alignment horizontal="right" vertical="top" wrapText="1"/>
    </xf>
    <xf numFmtId="0" fontId="16" fillId="0" borderId="0" xfId="0" applyFont="1"/>
    <xf numFmtId="0" fontId="81" fillId="27" borderId="83" xfId="0" applyFont="1" applyFill="1" applyBorder="1" applyAlignment="1">
      <alignment horizontal="right" vertical="top" wrapText="1"/>
    </xf>
    <xf numFmtId="0" fontId="81" fillId="27" borderId="84" xfId="0" applyFont="1" applyFill="1" applyBorder="1" applyAlignment="1">
      <alignment horizontal="left" vertical="top" wrapText="1"/>
    </xf>
    <xf numFmtId="0" fontId="81" fillId="27" borderId="84" xfId="0" applyFont="1" applyFill="1" applyBorder="1" applyAlignment="1">
      <alignment horizontal="center" vertical="top" wrapText="1"/>
    </xf>
    <xf numFmtId="0" fontId="81" fillId="27" borderId="84" xfId="0" applyFont="1" applyFill="1" applyBorder="1" applyAlignment="1">
      <alignment horizontal="right" vertical="top" wrapText="1"/>
    </xf>
    <xf numFmtId="168" fontId="81" fillId="27" borderId="86" xfId="0" applyNumberFormat="1" applyFont="1" applyFill="1" applyBorder="1" applyAlignment="1">
      <alignment horizontal="right" vertical="top" wrapText="1"/>
    </xf>
    <xf numFmtId="168" fontId="81" fillId="27" borderId="87" xfId="0" applyNumberFormat="1" applyFont="1" applyFill="1" applyBorder="1" applyAlignment="1">
      <alignment horizontal="right" vertical="top" wrapText="1"/>
    </xf>
    <xf numFmtId="0" fontId="81" fillId="26" borderId="88" xfId="0" applyFont="1" applyFill="1" applyBorder="1" applyAlignment="1">
      <alignment horizontal="left" vertical="top" wrapText="1"/>
    </xf>
    <xf numFmtId="0" fontId="81" fillId="26" borderId="89" xfId="0" applyFont="1" applyFill="1" applyBorder="1" applyAlignment="1">
      <alignment horizontal="left" vertical="top" wrapText="1"/>
    </xf>
    <xf numFmtId="0" fontId="81" fillId="26" borderId="90" xfId="0" applyFont="1" applyFill="1" applyBorder="1" applyAlignment="1">
      <alignment horizontal="right" vertical="top" wrapText="1"/>
    </xf>
    <xf numFmtId="0" fontId="82" fillId="25" borderId="83" xfId="0" applyFont="1" applyFill="1" applyBorder="1" applyAlignment="1">
      <alignment horizontal="right" vertical="top" wrapText="1"/>
    </xf>
    <xf numFmtId="0" fontId="82" fillId="25" borderId="84" xfId="0" applyFont="1" applyFill="1" applyBorder="1" applyAlignment="1">
      <alignment horizontal="left" vertical="top" wrapText="1"/>
    </xf>
    <xf numFmtId="0" fontId="82" fillId="25" borderId="84" xfId="0" applyFont="1" applyFill="1" applyBorder="1" applyAlignment="1">
      <alignment horizontal="center" vertical="top" wrapText="1"/>
    </xf>
    <xf numFmtId="0" fontId="82" fillId="25" borderId="84" xfId="0" applyFont="1" applyFill="1" applyBorder="1" applyAlignment="1">
      <alignment horizontal="right" vertical="top" wrapText="1"/>
    </xf>
    <xf numFmtId="0" fontId="82" fillId="25" borderId="86" xfId="0" applyFont="1" applyFill="1" applyBorder="1" applyAlignment="1">
      <alignment horizontal="right" vertical="top" wrapText="1"/>
    </xf>
    <xf numFmtId="0" fontId="81" fillId="28" borderId="83" xfId="0" applyFont="1" applyFill="1" applyBorder="1" applyAlignment="1">
      <alignment horizontal="right" vertical="top" wrapText="1"/>
    </xf>
    <xf numFmtId="0" fontId="81" fillId="28" borderId="84" xfId="0" applyFont="1" applyFill="1" applyBorder="1" applyAlignment="1">
      <alignment horizontal="left" vertical="top" wrapText="1"/>
    </xf>
    <xf numFmtId="0" fontId="81" fillId="28" borderId="84" xfId="0" applyFont="1" applyFill="1" applyBorder="1" applyAlignment="1">
      <alignment horizontal="center" vertical="top" wrapText="1"/>
    </xf>
    <xf numFmtId="0" fontId="81" fillId="28" borderId="84" xfId="0" applyFont="1" applyFill="1" applyBorder="1" applyAlignment="1">
      <alignment horizontal="right" vertical="top" wrapText="1"/>
    </xf>
    <xf numFmtId="168" fontId="81" fillId="28" borderId="87" xfId="0" applyNumberFormat="1" applyFont="1" applyFill="1" applyBorder="1" applyAlignment="1">
      <alignment horizontal="right" vertical="top" wrapText="1"/>
    </xf>
    <xf numFmtId="168" fontId="81" fillId="28" borderId="86" xfId="0" applyNumberFormat="1" applyFont="1" applyFill="1" applyBorder="1" applyAlignment="1">
      <alignment horizontal="right" vertical="top" wrapText="1"/>
    </xf>
    <xf numFmtId="0" fontId="81" fillId="28" borderId="91" xfId="0" applyFont="1" applyFill="1" applyBorder="1" applyAlignment="1">
      <alignment horizontal="right" vertical="top" wrapText="1"/>
    </xf>
    <xf numFmtId="0" fontId="81" fillId="28" borderId="92" xfId="0" applyFont="1" applyFill="1" applyBorder="1" applyAlignment="1">
      <alignment horizontal="left" vertical="top" wrapText="1"/>
    </xf>
    <xf numFmtId="0" fontId="81" fillId="28" borderId="92" xfId="0" applyFont="1" applyFill="1" applyBorder="1" applyAlignment="1">
      <alignment horizontal="center" vertical="top" wrapText="1"/>
    </xf>
    <xf numFmtId="0" fontId="81" fillId="28" borderId="92" xfId="0" applyFont="1" applyFill="1" applyBorder="1" applyAlignment="1">
      <alignment horizontal="right" vertical="top" wrapText="1"/>
    </xf>
    <xf numFmtId="168" fontId="81" fillId="28" borderId="93" xfId="0" applyNumberFormat="1" applyFont="1" applyFill="1" applyBorder="1" applyAlignment="1">
      <alignment horizontal="right" vertical="top" wrapText="1"/>
    </xf>
    <xf numFmtId="0" fontId="81" fillId="26" borderId="0" xfId="0" applyFont="1" applyFill="1" applyBorder="1" applyAlignment="1">
      <alignment horizontal="left" vertical="top" wrapText="1"/>
    </xf>
    <xf numFmtId="0" fontId="81" fillId="26" borderId="0" xfId="0" applyFont="1" applyFill="1" applyBorder="1" applyAlignment="1">
      <alignment horizontal="right" vertical="top" wrapText="1"/>
    </xf>
    <xf numFmtId="0" fontId="83" fillId="0" borderId="0" xfId="17"/>
    <xf numFmtId="0" fontId="82" fillId="25" borderId="80" xfId="0" applyFont="1" applyFill="1" applyBorder="1" applyAlignment="1">
      <alignment horizontal="center" vertical="center" wrapText="1"/>
    </xf>
    <xf numFmtId="0" fontId="82" fillId="25" borderId="81" xfId="0" applyFont="1" applyFill="1" applyBorder="1" applyAlignment="1">
      <alignment horizontal="center" vertical="center" wrapText="1"/>
    </xf>
    <xf numFmtId="0" fontId="82" fillId="25" borderId="8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3" applyNumberFormat="1" applyFont="1" applyBorder="1" applyAlignment="1">
      <alignment horizontal="center" vertical="center" wrapText="1"/>
    </xf>
    <xf numFmtId="0" fontId="2" fillId="0" borderId="2" xfId="3" applyNumberFormat="1" applyFont="1" applyBorder="1" applyAlignment="1">
      <alignment horizontal="center" vertical="center" wrapText="1"/>
    </xf>
    <xf numFmtId="0" fontId="43" fillId="4" borderId="35" xfId="4" quotePrefix="1" applyFont="1" applyFill="1" applyBorder="1" applyAlignment="1">
      <alignment horizontal="center" vertical="center" wrapText="1"/>
    </xf>
    <xf numFmtId="0" fontId="43" fillId="4" borderId="11" xfId="4" quotePrefix="1" applyFont="1" applyFill="1" applyBorder="1" applyAlignment="1">
      <alignment horizontal="center" vertical="center" wrapText="1"/>
    </xf>
    <xf numFmtId="0" fontId="43" fillId="4" borderId="36" xfId="4" quotePrefix="1" applyFont="1" applyFill="1" applyBorder="1" applyAlignment="1">
      <alignment horizontal="center" vertical="center" wrapText="1"/>
    </xf>
    <xf numFmtId="164" fontId="8" fillId="5" borderId="0" xfId="5" quotePrefix="1" applyFont="1" applyFill="1" applyBorder="1" applyAlignment="1">
      <alignment horizontal="center" vertical="center"/>
    </xf>
    <xf numFmtId="0" fontId="8" fillId="5" borderId="0" xfId="4" applyFont="1" applyFill="1" applyBorder="1" applyAlignment="1">
      <alignment horizontal="center" vertical="center" wrapText="1"/>
    </xf>
    <xf numFmtId="0" fontId="8" fillId="5" borderId="0" xfId="4" quotePrefix="1" applyFont="1" applyFill="1" applyBorder="1" applyAlignment="1">
      <alignment horizontal="center" vertical="center" wrapText="1"/>
    </xf>
    <xf numFmtId="164" fontId="8" fillId="5" borderId="0" xfId="5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31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/>
    </xf>
    <xf numFmtId="0" fontId="24" fillId="9" borderId="17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56" fillId="0" borderId="11" xfId="5" applyFont="1" applyFill="1" applyBorder="1" applyAlignment="1">
      <alignment horizontal="center" vertical="justify" wrapText="1"/>
    </xf>
    <xf numFmtId="0" fontId="21" fillId="6" borderId="11" xfId="0" applyFont="1" applyFill="1" applyBorder="1" applyAlignment="1">
      <alignment horizontal="center" vertical="center" wrapText="1"/>
    </xf>
    <xf numFmtId="164" fontId="52" fillId="4" borderId="11" xfId="5" applyFont="1" applyFill="1" applyBorder="1" applyAlignment="1">
      <alignment horizontal="center" vertical="center"/>
    </xf>
    <xf numFmtId="164" fontId="52" fillId="4" borderId="11" xfId="5" quotePrefix="1" applyFont="1" applyFill="1" applyBorder="1" applyAlignment="1">
      <alignment horizontal="center" vertical="center"/>
    </xf>
    <xf numFmtId="0" fontId="52" fillId="4" borderId="11" xfId="4" applyFont="1" applyFill="1" applyBorder="1" applyAlignment="1">
      <alignment horizontal="center" vertical="center" wrapText="1"/>
    </xf>
    <xf numFmtId="0" fontId="52" fillId="4" borderId="11" xfId="4" quotePrefix="1" applyFont="1" applyFill="1" applyBorder="1" applyAlignment="1">
      <alignment horizontal="center" vertical="center" wrapText="1"/>
    </xf>
    <xf numFmtId="164" fontId="52" fillId="4" borderId="8" xfId="5" quotePrefix="1" applyFont="1" applyFill="1" applyBorder="1" applyAlignment="1">
      <alignment horizontal="center" vertical="center"/>
    </xf>
    <xf numFmtId="164" fontId="52" fillId="4" borderId="3" xfId="5" quotePrefix="1" applyFont="1" applyFill="1" applyBorder="1" applyAlignment="1">
      <alignment horizontal="center" vertical="center"/>
    </xf>
    <xf numFmtId="164" fontId="52" fillId="4" borderId="1" xfId="5" quotePrefix="1" applyFont="1" applyFill="1" applyBorder="1" applyAlignment="1">
      <alignment horizontal="center" vertical="center"/>
    </xf>
    <xf numFmtId="0" fontId="52" fillId="21" borderId="11" xfId="4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1" fillId="4" borderId="3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53" fillId="4" borderId="8" xfId="0" quotePrefix="1" applyFont="1" applyFill="1" applyBorder="1" applyAlignment="1">
      <alignment horizontal="center" vertical="center" wrapText="1"/>
    </xf>
    <xf numFmtId="0" fontId="53" fillId="4" borderId="3" xfId="0" quotePrefix="1" applyFont="1" applyFill="1" applyBorder="1" applyAlignment="1">
      <alignment horizontal="center" vertical="center" wrapText="1"/>
    </xf>
    <xf numFmtId="0" fontId="53" fillId="4" borderId="1" xfId="0" quotePrefix="1" applyFont="1" applyFill="1" applyBorder="1" applyAlignment="1">
      <alignment horizontal="center" vertical="center" wrapText="1"/>
    </xf>
    <xf numFmtId="0" fontId="26" fillId="0" borderId="1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 wrapText="1"/>
    </xf>
    <xf numFmtId="43" fontId="48" fillId="0" borderId="0" xfId="3" applyFont="1" applyFill="1" applyBorder="1" applyAlignment="1">
      <alignment horizontal="center" vertical="center" wrapText="1"/>
    </xf>
    <xf numFmtId="0" fontId="12" fillId="0" borderId="3" xfId="3" applyNumberFormat="1" applyFont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3" fontId="19" fillId="0" borderId="0" xfId="3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right" vertical="center"/>
    </xf>
    <xf numFmtId="0" fontId="0" fillId="7" borderId="0" xfId="0" applyFill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45" xfId="0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36" fillId="0" borderId="32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5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5" fillId="16" borderId="16" xfId="0" applyFont="1" applyFill="1" applyBorder="1" applyAlignment="1">
      <alignment horizontal="center" vertical="center" wrapText="1"/>
    </xf>
    <xf numFmtId="0" fontId="35" fillId="16" borderId="17" xfId="0" applyFont="1" applyFill="1" applyBorder="1" applyAlignment="1">
      <alignment horizontal="center" vertical="center" wrapText="1"/>
    </xf>
    <xf numFmtId="0" fontId="35" fillId="16" borderId="31" xfId="0" applyFont="1" applyFill="1" applyBorder="1" applyAlignment="1">
      <alignment horizontal="center" vertical="center" wrapText="1"/>
    </xf>
    <xf numFmtId="0" fontId="37" fillId="17" borderId="13" xfId="0" applyFont="1" applyFill="1" applyBorder="1" applyAlignment="1">
      <alignment horizontal="center" vertical="center" wrapText="1"/>
    </xf>
    <xf numFmtId="0" fontId="37" fillId="17" borderId="14" xfId="0" applyFont="1" applyFill="1" applyBorder="1" applyAlignment="1">
      <alignment horizontal="center" vertical="center" wrapText="1"/>
    </xf>
    <xf numFmtId="0" fontId="37" fillId="17" borderId="47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left" vertical="center" wrapText="1"/>
    </xf>
    <xf numFmtId="0" fontId="36" fillId="0" borderId="26" xfId="0" applyFont="1" applyFill="1" applyBorder="1" applyAlignment="1">
      <alignment horizontal="left" vertical="center" wrapText="1"/>
    </xf>
    <xf numFmtId="0" fontId="37" fillId="17" borderId="16" xfId="0" applyFont="1" applyFill="1" applyBorder="1" applyAlignment="1">
      <alignment horizontal="center" vertical="center" wrapText="1"/>
    </xf>
    <xf numFmtId="0" fontId="37" fillId="17" borderId="17" xfId="0" applyFont="1" applyFill="1" applyBorder="1" applyAlignment="1">
      <alignment horizontal="center" vertical="center" wrapText="1"/>
    </xf>
    <xf numFmtId="0" fontId="37" fillId="17" borderId="31" xfId="0" applyFont="1" applyFill="1" applyBorder="1" applyAlignment="1">
      <alignment horizontal="center" vertical="center" wrapText="1"/>
    </xf>
    <xf numFmtId="0" fontId="40" fillId="20" borderId="13" xfId="0" applyFont="1" applyFill="1" applyBorder="1" applyAlignment="1">
      <alignment horizontal="center" vertical="center" wrapText="1"/>
    </xf>
    <xf numFmtId="0" fontId="40" fillId="20" borderId="14" xfId="0" applyFont="1" applyFill="1" applyBorder="1" applyAlignment="1">
      <alignment horizontal="center" vertical="center" wrapText="1"/>
    </xf>
    <xf numFmtId="0" fontId="40" fillId="20" borderId="15" xfId="0" applyFont="1" applyFill="1" applyBorder="1" applyAlignment="1">
      <alignment horizontal="center" vertical="center" wrapText="1"/>
    </xf>
    <xf numFmtId="0" fontId="36" fillId="0" borderId="71" xfId="0" applyFont="1" applyFill="1" applyBorder="1" applyAlignment="1">
      <alignment horizontal="left" vertical="center" wrapText="1"/>
    </xf>
    <xf numFmtId="0" fontId="36" fillId="0" borderId="56" xfId="0" applyFont="1" applyFill="1" applyBorder="1" applyAlignment="1">
      <alignment horizontal="left" vertical="center" wrapText="1"/>
    </xf>
    <xf numFmtId="0" fontId="36" fillId="0" borderId="57" xfId="0" applyFont="1" applyFill="1" applyBorder="1" applyAlignment="1">
      <alignment horizontal="left"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36" fillId="0" borderId="25" xfId="0" applyFont="1" applyFill="1" applyBorder="1" applyAlignment="1">
      <alignment horizontal="left" vertical="center" wrapText="1"/>
    </xf>
    <xf numFmtId="0" fontId="36" fillId="0" borderId="53" xfId="0" applyFont="1" applyFill="1" applyBorder="1" applyAlignment="1">
      <alignment horizontal="left" vertical="center" wrapText="1"/>
    </xf>
    <xf numFmtId="0" fontId="37" fillId="17" borderId="15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left" vertical="center" wrapText="1"/>
    </xf>
    <xf numFmtId="0" fontId="36" fillId="0" borderId="60" xfId="0" applyFont="1" applyFill="1" applyBorder="1" applyAlignment="1">
      <alignment horizontal="left" vertical="center" wrapText="1"/>
    </xf>
    <xf numFmtId="0" fontId="36" fillId="0" borderId="61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40" fillId="20" borderId="28" xfId="0" applyFont="1" applyFill="1" applyBorder="1" applyAlignment="1">
      <alignment horizontal="center" vertical="center" wrapText="1"/>
    </xf>
    <xf numFmtId="0" fontId="40" fillId="20" borderId="29" xfId="0" applyFont="1" applyFill="1" applyBorder="1" applyAlignment="1">
      <alignment horizontal="center" vertical="center" wrapText="1"/>
    </xf>
    <xf numFmtId="0" fontId="40" fillId="20" borderId="62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24" fillId="9" borderId="13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34" fillId="9" borderId="13" xfId="0" applyFont="1" applyFill="1" applyBorder="1" applyAlignment="1">
      <alignment horizontal="center" vertical="center"/>
    </xf>
    <xf numFmtId="0" fontId="34" fillId="9" borderId="14" xfId="0" applyFont="1" applyFill="1" applyBorder="1" applyAlignment="1">
      <alignment horizontal="center" vertical="center"/>
    </xf>
    <xf numFmtId="0" fontId="34" fillId="9" borderId="15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1" fillId="8" borderId="17" xfId="0" applyFont="1" applyFill="1" applyBorder="1" applyAlignment="1">
      <alignment horizontal="center" vertical="center"/>
    </xf>
    <xf numFmtId="0" fontId="31" fillId="8" borderId="31" xfId="0" applyFont="1" applyFill="1" applyBorder="1" applyAlignment="1">
      <alignment horizontal="center" vertical="center"/>
    </xf>
    <xf numFmtId="0" fontId="32" fillId="8" borderId="21" xfId="0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center" vertical="center" wrapText="1"/>
    </xf>
    <xf numFmtId="0" fontId="32" fillId="8" borderId="18" xfId="0" applyFont="1" applyFill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32" fillId="8" borderId="19" xfId="0" applyFont="1" applyFill="1" applyBorder="1" applyAlignment="1">
      <alignment horizontal="center" vertical="center" wrapText="1"/>
    </xf>
    <xf numFmtId="0" fontId="61" fillId="0" borderId="66" xfId="4" applyFont="1" applyBorder="1" applyAlignment="1">
      <alignment horizontal="center" vertical="center"/>
    </xf>
    <xf numFmtId="0" fontId="61" fillId="0" borderId="4" xfId="4" applyFont="1" applyBorder="1" applyAlignment="1">
      <alignment horizontal="center" vertical="center"/>
    </xf>
    <xf numFmtId="0" fontId="61" fillId="0" borderId="64" xfId="4" applyFont="1" applyBorder="1" applyAlignment="1">
      <alignment horizontal="center" vertical="center"/>
    </xf>
    <xf numFmtId="0" fontId="62" fillId="0" borderId="0" xfId="4" applyFont="1" applyBorder="1" applyAlignment="1">
      <alignment horizontal="left" vertical="center" wrapText="1"/>
    </xf>
    <xf numFmtId="0" fontId="62" fillId="0" borderId="23" xfId="4" applyFont="1" applyBorder="1" applyAlignment="1">
      <alignment horizontal="left" vertical="center" wrapText="1"/>
    </xf>
    <xf numFmtId="0" fontId="62" fillId="0" borderId="5" xfId="4" applyFont="1" applyBorder="1" applyAlignment="1">
      <alignment horizontal="left" vertical="center" wrapText="1"/>
    </xf>
    <xf numFmtId="0" fontId="62" fillId="0" borderId="58" xfId="4" applyFont="1" applyBorder="1" applyAlignment="1">
      <alignment horizontal="left" vertical="center" wrapText="1"/>
    </xf>
    <xf numFmtId="0" fontId="60" fillId="8" borderId="16" xfId="4" applyFont="1" applyFill="1" applyBorder="1" applyAlignment="1">
      <alignment horizontal="center"/>
    </xf>
    <xf numFmtId="0" fontId="60" fillId="8" borderId="17" xfId="4" applyFont="1" applyFill="1" applyBorder="1" applyAlignment="1">
      <alignment horizontal="center"/>
    </xf>
    <xf numFmtId="0" fontId="60" fillId="8" borderId="31" xfId="4" applyFont="1" applyFill="1" applyBorder="1" applyAlignment="1">
      <alignment horizontal="center"/>
    </xf>
    <xf numFmtId="0" fontId="60" fillId="22" borderId="65" xfId="4" applyFont="1" applyFill="1" applyBorder="1" applyAlignment="1">
      <alignment horizontal="center"/>
    </xf>
    <xf numFmtId="0" fontId="60" fillId="22" borderId="5" xfId="4" applyFont="1" applyFill="1" applyBorder="1" applyAlignment="1">
      <alignment horizontal="center"/>
    </xf>
    <xf numFmtId="0" fontId="11" fillId="0" borderId="0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60" fillId="22" borderId="50" xfId="4" applyFont="1" applyFill="1" applyBorder="1" applyAlignment="1">
      <alignment horizontal="center"/>
    </xf>
    <xf numFmtId="0" fontId="60" fillId="22" borderId="3" xfId="4" applyFont="1" applyFill="1" applyBorder="1" applyAlignment="1">
      <alignment horizontal="center"/>
    </xf>
    <xf numFmtId="0" fontId="60" fillId="8" borderId="16" xfId="4" applyFont="1" applyFill="1" applyBorder="1" applyAlignment="1">
      <alignment horizontal="center" vertical="center" wrapText="1"/>
    </xf>
    <xf numFmtId="0" fontId="60" fillId="8" borderId="17" xfId="4" applyFont="1" applyFill="1" applyBorder="1" applyAlignment="1">
      <alignment horizontal="center" vertical="center"/>
    </xf>
    <xf numFmtId="0" fontId="60" fillId="8" borderId="31" xfId="4" applyFont="1" applyFill="1" applyBorder="1" applyAlignment="1">
      <alignment horizontal="center" vertical="center"/>
    </xf>
    <xf numFmtId="1" fontId="5" fillId="24" borderId="11" xfId="15" applyNumberFormat="1" applyFont="1" applyFill="1" applyBorder="1" applyAlignment="1">
      <alignment horizontal="center" vertical="center" wrapText="1"/>
    </xf>
    <xf numFmtId="4" fontId="5" fillId="24" borderId="11" xfId="15" applyNumberFormat="1" applyFont="1" applyFill="1" applyBorder="1" applyAlignment="1">
      <alignment horizontal="left" vertical="center" wrapText="1"/>
    </xf>
    <xf numFmtId="44" fontId="8" fillId="0" borderId="11" xfId="16" applyFont="1" applyFill="1" applyBorder="1" applyAlignment="1">
      <alignment horizontal="center" vertical="center" wrapText="1"/>
    </xf>
    <xf numFmtId="0" fontId="5" fillId="7" borderId="11" xfId="15" applyFont="1" applyFill="1" applyBorder="1" applyAlignment="1">
      <alignment horizontal="center" vertical="center"/>
    </xf>
    <xf numFmtId="4" fontId="5" fillId="24" borderId="11" xfId="15" applyNumberFormat="1" applyFont="1" applyFill="1" applyBorder="1" applyAlignment="1">
      <alignment vertical="center" wrapText="1"/>
    </xf>
    <xf numFmtId="0" fontId="5" fillId="7" borderId="1" xfId="15" applyFont="1" applyFill="1" applyBorder="1" applyAlignment="1">
      <alignment horizontal="center" vertical="center" wrapText="1"/>
    </xf>
    <xf numFmtId="0" fontId="5" fillId="7" borderId="1" xfId="15" applyFont="1" applyFill="1" applyBorder="1" applyAlignment="1">
      <alignment horizontal="center" vertical="center"/>
    </xf>
    <xf numFmtId="0" fontId="5" fillId="24" borderId="11" xfId="15" applyNumberFormat="1" applyFont="1" applyFill="1" applyBorder="1" applyAlignment="1">
      <alignment vertical="center" wrapText="1"/>
    </xf>
    <xf numFmtId="0" fontId="56" fillId="6" borderId="11" xfId="15" applyNumberFormat="1" applyFont="1" applyFill="1" applyBorder="1" applyAlignment="1">
      <alignment horizontal="center" vertical="center" wrapText="1"/>
    </xf>
    <xf numFmtId="0" fontId="5" fillId="6" borderId="1" xfId="15" applyFont="1" applyFill="1" applyBorder="1" applyAlignment="1">
      <alignment horizontal="center" vertical="center"/>
    </xf>
    <xf numFmtId="0" fontId="5" fillId="7" borderId="7" xfId="15" applyFont="1" applyFill="1" applyBorder="1" applyAlignment="1">
      <alignment horizontal="center" vertical="center"/>
    </xf>
    <xf numFmtId="0" fontId="5" fillId="24" borderId="11" xfId="15" applyNumberFormat="1" applyFont="1" applyFill="1" applyBorder="1" applyAlignment="1">
      <alignment horizontal="left" vertical="center" wrapText="1"/>
    </xf>
    <xf numFmtId="4" fontId="5" fillId="7" borderId="1" xfId="15" applyNumberFormat="1" applyFont="1" applyFill="1" applyBorder="1" applyAlignment="1">
      <alignment horizontal="center" vertical="center" wrapText="1"/>
    </xf>
    <xf numFmtId="0" fontId="5" fillId="0" borderId="1" xfId="15" applyFont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/>
    </xf>
    <xf numFmtId="4" fontId="5" fillId="6" borderId="11" xfId="15" applyNumberFormat="1" applyFont="1" applyFill="1" applyBorder="1" applyAlignment="1">
      <alignment horizontal="center" vertical="center" wrapText="1"/>
    </xf>
    <xf numFmtId="0" fontId="56" fillId="0" borderId="11" xfId="15" applyNumberFormat="1" applyFont="1" applyBorder="1" applyAlignment="1">
      <alignment horizontal="center" vertical="center" wrapText="1"/>
    </xf>
    <xf numFmtId="4" fontId="56" fillId="6" borderId="11" xfId="15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0" fontId="0" fillId="6" borderId="69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9" fillId="25" borderId="16" xfId="0" applyFont="1" applyFill="1" applyBorder="1" applyAlignment="1">
      <alignment horizontal="center" vertical="center" wrapText="1"/>
    </xf>
    <xf numFmtId="0" fontId="79" fillId="25" borderId="17" xfId="0" applyFont="1" applyFill="1" applyBorder="1" applyAlignment="1">
      <alignment horizontal="center" vertical="center" wrapText="1"/>
    </xf>
    <xf numFmtId="0" fontId="79" fillId="25" borderId="31" xfId="0" applyFont="1" applyFill="1" applyBorder="1" applyAlignment="1">
      <alignment horizontal="center" vertical="center" wrapText="1"/>
    </xf>
  </cellXfs>
  <cellStyles count="18">
    <cellStyle name="Moeda" xfId="1" builtinId="4"/>
    <cellStyle name="Moeda 2" xfId="16"/>
    <cellStyle name="Normal" xfId="0" builtinId="0"/>
    <cellStyle name="Normal 2" xfId="4"/>
    <cellStyle name="Normal 2 2" xfId="7"/>
    <cellStyle name="Normal 2 2 2" xfId="9"/>
    <cellStyle name="Normal 2 3" xfId="17"/>
    <cellStyle name="Normal 3" xfId="6"/>
    <cellStyle name="Normal 3 3" xfId="15"/>
    <cellStyle name="Normal 35" xfId="8"/>
    <cellStyle name="Porcentagem" xfId="2" builtinId="5"/>
    <cellStyle name="Porcentagem 2" xfId="12"/>
    <cellStyle name="Porcentagem 2 2" xfId="13"/>
    <cellStyle name="Separador de milhares 2" xfId="10"/>
    <cellStyle name="Separador de milhares 3" xfId="11"/>
    <cellStyle name="Vírgula" xfId="3" builtinId="3"/>
    <cellStyle name="Vírgula 2" xfId="5"/>
    <cellStyle name="Vírgula 3" xfId="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00"/>
      <color rgb="FFFFCCFF"/>
      <color rgb="FFFFFF00"/>
      <color rgb="FFFF9933"/>
      <color rgb="FF99CC00"/>
      <color rgb="FFFF3300"/>
      <color rgb="FFDC3624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HP\Users\pmc\Documents\Downloads\REVIS&#195;O%2002%20-%20L&#211;GICA\LOGICA%20EM%2022-07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PI-SINTETICO"/>
      <sheetName val="SINAPI-01-2014"/>
      <sheetName val="MAPA COTAÇÃO (MC01)"/>
      <sheetName val="estimativa de custo IRMA DULCE"/>
      <sheetName val="ELÉTRICA"/>
      <sheetName val="INFRA"/>
      <sheetName val="LÓGICA 2"/>
      <sheetName val="LÓGICA 22"/>
    </sheetNames>
    <sheetDataSet>
      <sheetData sheetId="0"/>
      <sheetData sheetId="1"/>
      <sheetData sheetId="2"/>
      <sheetData sheetId="3">
        <row r="6">
          <cell r="B6" t="str">
            <v>CASA IRMÃ DULCE</v>
          </cell>
        </row>
        <row r="7">
          <cell r="I7">
            <v>0.27279999999999999</v>
          </cell>
        </row>
      </sheetData>
      <sheetData sheetId="4">
        <row r="25">
          <cell r="F25">
            <v>25.390000000000004</v>
          </cell>
        </row>
      </sheetData>
      <sheetData sheetId="5">
        <row r="27">
          <cell r="F27">
            <v>2.8000000000000003</v>
          </cell>
        </row>
        <row r="44">
          <cell r="F44">
            <v>10.09</v>
          </cell>
        </row>
        <row r="62">
          <cell r="F62">
            <v>12.790000000000001</v>
          </cell>
        </row>
        <row r="80">
          <cell r="F80">
            <v>46.55</v>
          </cell>
        </row>
        <row r="98">
          <cell r="F98">
            <v>27</v>
          </cell>
        </row>
        <row r="116">
          <cell r="F116">
            <v>29.27</v>
          </cell>
        </row>
        <row r="134">
          <cell r="F134">
            <v>22.459999999999997</v>
          </cell>
        </row>
        <row r="152">
          <cell r="F152">
            <v>21.23</v>
          </cell>
        </row>
        <row r="170">
          <cell r="F170">
            <v>6.5099999999999989</v>
          </cell>
        </row>
        <row r="188">
          <cell r="F188">
            <v>4.9800000000000004</v>
          </cell>
        </row>
        <row r="206">
          <cell r="F206">
            <v>22.68</v>
          </cell>
        </row>
        <row r="224">
          <cell r="F224">
            <v>13.27</v>
          </cell>
        </row>
        <row r="242">
          <cell r="F242">
            <v>2.9060000000000006</v>
          </cell>
        </row>
        <row r="261">
          <cell r="F261">
            <v>2.6460000000000004</v>
          </cell>
        </row>
        <row r="279">
          <cell r="F279">
            <v>0.39760000000000001</v>
          </cell>
        </row>
        <row r="297">
          <cell r="F297">
            <v>3.98</v>
          </cell>
        </row>
        <row r="315">
          <cell r="F315">
            <v>4.2699999999999996</v>
          </cell>
        </row>
        <row r="334">
          <cell r="F334">
            <v>125.10000000000001</v>
          </cell>
        </row>
        <row r="352">
          <cell r="F352">
            <v>9.11</v>
          </cell>
        </row>
        <row r="370">
          <cell r="F370">
            <v>43.54</v>
          </cell>
        </row>
        <row r="388">
          <cell r="F388">
            <v>11.78</v>
          </cell>
        </row>
        <row r="406">
          <cell r="F406">
            <v>104.63000000000001</v>
          </cell>
        </row>
        <row r="424">
          <cell r="F424">
            <v>92.77</v>
          </cell>
        </row>
        <row r="442">
          <cell r="F442">
            <v>130.80000000000001</v>
          </cell>
        </row>
        <row r="460">
          <cell r="F460">
            <v>68.009999999999991</v>
          </cell>
        </row>
        <row r="478">
          <cell r="F478">
            <v>6.5399999999999991</v>
          </cell>
        </row>
        <row r="496">
          <cell r="F496">
            <v>77.89</v>
          </cell>
        </row>
        <row r="514">
          <cell r="F514">
            <v>33.94</v>
          </cell>
        </row>
        <row r="532">
          <cell r="F532">
            <v>3.9999999999999996</v>
          </cell>
        </row>
      </sheetData>
      <sheetData sheetId="6">
        <row r="24">
          <cell r="F24">
            <v>8.7899999999999991</v>
          </cell>
        </row>
        <row r="42">
          <cell r="F42">
            <v>20.28</v>
          </cell>
        </row>
        <row r="78">
          <cell r="F78">
            <v>54.65</v>
          </cell>
        </row>
        <row r="96">
          <cell r="F96">
            <v>1.37</v>
          </cell>
        </row>
        <row r="116">
          <cell r="F116">
            <v>93.740000000000009</v>
          </cell>
        </row>
        <row r="134">
          <cell r="F134">
            <v>22.82</v>
          </cell>
        </row>
        <row r="155">
          <cell r="F155">
            <v>372.28999999999996</v>
          </cell>
        </row>
        <row r="177">
          <cell r="F177">
            <v>1567.1299999999997</v>
          </cell>
        </row>
        <row r="195">
          <cell r="F195">
            <v>1038.8</v>
          </cell>
        </row>
        <row r="213">
          <cell r="F213">
            <v>300.60000000000002</v>
          </cell>
        </row>
        <row r="231">
          <cell r="F231">
            <v>41.78</v>
          </cell>
        </row>
        <row r="249">
          <cell r="F249">
            <v>48.029999999999994</v>
          </cell>
        </row>
        <row r="267">
          <cell r="F267">
            <v>55.91</v>
          </cell>
        </row>
        <row r="285">
          <cell r="F285">
            <v>11.819999999999999</v>
          </cell>
        </row>
        <row r="303">
          <cell r="F303">
            <v>1.5000000000000002</v>
          </cell>
        </row>
        <row r="321">
          <cell r="F321">
            <v>2.59</v>
          </cell>
        </row>
        <row r="339">
          <cell r="F339">
            <v>3821.9100000000003</v>
          </cell>
        </row>
        <row r="357">
          <cell r="F357">
            <v>24.71</v>
          </cell>
        </row>
        <row r="374">
          <cell r="F374">
            <v>16.48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7"/>
  <sheetViews>
    <sheetView showOutlineSymbols="0" showWhiteSpace="0" view="pageBreakPreview" topLeftCell="A410" zoomScaleNormal="100" zoomScaleSheetLayoutView="100" workbookViewId="0">
      <selection activeCell="C416" sqref="C416"/>
    </sheetView>
  </sheetViews>
  <sheetFormatPr defaultColWidth="9" defaultRowHeight="14.25" x14ac:dyDescent="0.2"/>
  <cols>
    <col min="1" max="1" width="8.7109375" style="686" customWidth="1"/>
    <col min="2" max="2" width="8.42578125" style="686" customWidth="1"/>
    <col min="3" max="3" width="74.140625" style="686" bestFit="1" customWidth="1"/>
    <col min="4" max="4" width="22.85546875" style="686" customWidth="1"/>
    <col min="5" max="5" width="5.85546875" style="686" bestFit="1" customWidth="1"/>
    <col min="6" max="6" width="7.7109375" style="686" bestFit="1" customWidth="1"/>
    <col min="7" max="7" width="13" style="686" customWidth="1"/>
    <col min="8" max="8" width="13.140625" style="686" customWidth="1"/>
    <col min="9" max="16384" width="9" style="686"/>
  </cols>
  <sheetData>
    <row r="1" spans="1:8" customFormat="1" ht="18.75" customHeight="1" x14ac:dyDescent="0.25">
      <c r="A1" s="687" t="s">
        <v>3696</v>
      </c>
      <c r="B1" s="688"/>
      <c r="C1" s="688"/>
      <c r="D1" s="688"/>
      <c r="E1" s="688"/>
      <c r="F1" s="688"/>
      <c r="G1" s="688"/>
      <c r="H1" s="689"/>
    </row>
    <row r="2" spans="1:8" s="463" customFormat="1" ht="30" x14ac:dyDescent="0.25">
      <c r="A2" s="650" t="s">
        <v>3457</v>
      </c>
      <c r="B2" s="651" t="s">
        <v>3697</v>
      </c>
      <c r="C2" s="651" t="s">
        <v>3460</v>
      </c>
      <c r="D2" s="651" t="s">
        <v>3462</v>
      </c>
      <c r="E2" s="651" t="s">
        <v>3698</v>
      </c>
      <c r="F2" s="651" t="s">
        <v>63</v>
      </c>
      <c r="G2" s="651" t="s">
        <v>3699</v>
      </c>
      <c r="H2" s="652" t="s">
        <v>3700</v>
      </c>
    </row>
    <row r="3" spans="1:8" s="658" customFormat="1" ht="22.5" x14ac:dyDescent="0.25">
      <c r="A3" s="653" t="s">
        <v>3701</v>
      </c>
      <c r="B3" s="654" t="s">
        <v>3702</v>
      </c>
      <c r="C3" s="654" t="s">
        <v>3703</v>
      </c>
      <c r="D3" s="654" t="s">
        <v>3704</v>
      </c>
      <c r="E3" s="655" t="s">
        <v>1566</v>
      </c>
      <c r="F3" s="656">
        <v>1</v>
      </c>
      <c r="G3" s="656" t="s">
        <v>3705</v>
      </c>
      <c r="H3" s="657" t="s">
        <v>3705</v>
      </c>
    </row>
    <row r="4" spans="1:8" customFormat="1" ht="15" x14ac:dyDescent="0.25">
      <c r="A4" s="659" t="s">
        <v>3706</v>
      </c>
      <c r="B4" s="660" t="s">
        <v>1114</v>
      </c>
      <c r="C4" s="660" t="s">
        <v>1115</v>
      </c>
      <c r="D4" s="660" t="s">
        <v>3502</v>
      </c>
      <c r="E4" s="661" t="s">
        <v>1116</v>
      </c>
      <c r="F4" s="662" t="s">
        <v>3707</v>
      </c>
      <c r="G4" s="662" t="s">
        <v>3708</v>
      </c>
      <c r="H4" s="663">
        <v>12607.2</v>
      </c>
    </row>
    <row r="5" spans="1:8" customFormat="1" ht="15" x14ac:dyDescent="0.25">
      <c r="A5" s="659" t="s">
        <v>3709</v>
      </c>
      <c r="B5" s="660" t="s">
        <v>1114</v>
      </c>
      <c r="C5" s="660" t="s">
        <v>1117</v>
      </c>
      <c r="D5" s="660" t="s">
        <v>3502</v>
      </c>
      <c r="E5" s="661" t="s">
        <v>3710</v>
      </c>
      <c r="F5" s="662" t="s">
        <v>3711</v>
      </c>
      <c r="G5" s="662" t="s">
        <v>3712</v>
      </c>
      <c r="H5" s="663">
        <v>4971.34</v>
      </c>
    </row>
    <row r="6" spans="1:8" customFormat="1" ht="15" x14ac:dyDescent="0.25">
      <c r="A6" s="659" t="s">
        <v>3713</v>
      </c>
      <c r="B6" s="660" t="s">
        <v>1114</v>
      </c>
      <c r="C6" s="660" t="s">
        <v>1118</v>
      </c>
      <c r="D6" s="660" t="s">
        <v>3502</v>
      </c>
      <c r="E6" s="661" t="s">
        <v>1116</v>
      </c>
      <c r="F6" s="662" t="s">
        <v>3714</v>
      </c>
      <c r="G6" s="662" t="s">
        <v>3715</v>
      </c>
      <c r="H6" s="663">
        <v>5594.4</v>
      </c>
    </row>
    <row r="7" spans="1:8" customFormat="1" ht="15" x14ac:dyDescent="0.25">
      <c r="A7" s="659" t="s">
        <v>3630</v>
      </c>
      <c r="B7" s="660" t="s">
        <v>3702</v>
      </c>
      <c r="C7" s="660" t="s">
        <v>1600</v>
      </c>
      <c r="D7" s="660" t="s">
        <v>3502</v>
      </c>
      <c r="E7" s="661" t="s">
        <v>1116</v>
      </c>
      <c r="F7" s="662" t="s">
        <v>3716</v>
      </c>
      <c r="G7" s="662" t="s">
        <v>3717</v>
      </c>
      <c r="H7" s="663">
        <v>1456.8000000000002</v>
      </c>
    </row>
    <row r="8" spans="1:8" customFormat="1" ht="15.75" thickBot="1" x14ac:dyDescent="0.3">
      <c r="A8" s="659" t="s">
        <v>3718</v>
      </c>
      <c r="B8" s="660" t="s">
        <v>1114</v>
      </c>
      <c r="C8" s="660" t="s">
        <v>1119</v>
      </c>
      <c r="D8" s="660" t="s">
        <v>3502</v>
      </c>
      <c r="E8" s="661" t="s">
        <v>3710</v>
      </c>
      <c r="F8" s="662" t="s">
        <v>3711</v>
      </c>
      <c r="G8" s="662" t="s">
        <v>3719</v>
      </c>
      <c r="H8" s="664">
        <v>3536.53</v>
      </c>
    </row>
    <row r="9" spans="1:8" customFormat="1" ht="15.75" thickTop="1" x14ac:dyDescent="0.25">
      <c r="A9" s="665"/>
      <c r="B9" s="666"/>
      <c r="C9" s="666"/>
      <c r="D9" s="666"/>
      <c r="E9" s="666"/>
      <c r="F9" s="666"/>
      <c r="G9" s="666"/>
      <c r="H9" s="667"/>
    </row>
    <row r="10" spans="1:8" customFormat="1" ht="15" x14ac:dyDescent="0.25">
      <c r="A10" s="668" t="s">
        <v>3457</v>
      </c>
      <c r="B10" s="669" t="s">
        <v>3697</v>
      </c>
      <c r="C10" s="669" t="s">
        <v>3460</v>
      </c>
      <c r="D10" s="669" t="s">
        <v>3462</v>
      </c>
      <c r="E10" s="670" t="s">
        <v>69</v>
      </c>
      <c r="F10" s="671" t="s">
        <v>63</v>
      </c>
      <c r="G10" s="671" t="s">
        <v>3720</v>
      </c>
      <c r="H10" s="672" t="s">
        <v>453</v>
      </c>
    </row>
    <row r="11" spans="1:8" s="658" customFormat="1" ht="22.5" x14ac:dyDescent="0.25">
      <c r="A11" s="653" t="s">
        <v>3496</v>
      </c>
      <c r="B11" s="654" t="s">
        <v>3702</v>
      </c>
      <c r="C11" s="654" t="s">
        <v>639</v>
      </c>
      <c r="D11" s="654" t="s">
        <v>3498</v>
      </c>
      <c r="E11" s="655" t="s">
        <v>273</v>
      </c>
      <c r="F11" s="656">
        <v>1</v>
      </c>
      <c r="G11" s="656" t="s">
        <v>3721</v>
      </c>
      <c r="H11" s="657" t="s">
        <v>3721</v>
      </c>
    </row>
    <row r="12" spans="1:8" customFormat="1" ht="15.75" thickBot="1" x14ac:dyDescent="0.3">
      <c r="A12" s="673" t="s">
        <v>3722</v>
      </c>
      <c r="B12" s="674" t="s">
        <v>1114</v>
      </c>
      <c r="C12" s="674" t="s">
        <v>3723</v>
      </c>
      <c r="D12" s="674" t="s">
        <v>1175</v>
      </c>
      <c r="E12" s="675" t="s">
        <v>273</v>
      </c>
      <c r="F12" s="676" t="s">
        <v>3711</v>
      </c>
      <c r="G12" s="676" t="s">
        <v>3721</v>
      </c>
      <c r="H12" s="677">
        <v>27.41</v>
      </c>
    </row>
    <row r="13" spans="1:8" customFormat="1" ht="15.75" thickTop="1" x14ac:dyDescent="0.25">
      <c r="A13" s="665"/>
      <c r="B13" s="666"/>
      <c r="C13" s="666"/>
      <c r="D13" s="666"/>
      <c r="E13" s="666"/>
      <c r="F13" s="666"/>
      <c r="G13" s="666"/>
      <c r="H13" s="667"/>
    </row>
    <row r="14" spans="1:8" customFormat="1" ht="15" x14ac:dyDescent="0.25">
      <c r="A14" s="668" t="s">
        <v>3457</v>
      </c>
      <c r="B14" s="669" t="s">
        <v>3697</v>
      </c>
      <c r="C14" s="669" t="s">
        <v>3460</v>
      </c>
      <c r="D14" s="669" t="s">
        <v>3462</v>
      </c>
      <c r="E14" s="670" t="s">
        <v>69</v>
      </c>
      <c r="F14" s="671" t="s">
        <v>63</v>
      </c>
      <c r="G14" s="671" t="s">
        <v>3720</v>
      </c>
      <c r="H14" s="672" t="s">
        <v>453</v>
      </c>
    </row>
    <row r="15" spans="1:8" s="658" customFormat="1" ht="22.5" x14ac:dyDescent="0.25">
      <c r="A15" s="653" t="s">
        <v>3611</v>
      </c>
      <c r="B15" s="654" t="s">
        <v>3702</v>
      </c>
      <c r="C15" s="654" t="s">
        <v>1565</v>
      </c>
      <c r="D15" s="654" t="s">
        <v>3613</v>
      </c>
      <c r="E15" s="655" t="s">
        <v>1566</v>
      </c>
      <c r="F15" s="656">
        <v>1</v>
      </c>
      <c r="G15" s="656" t="s">
        <v>3724</v>
      </c>
      <c r="H15" s="657" t="s">
        <v>3724</v>
      </c>
    </row>
    <row r="16" spans="1:8" customFormat="1" ht="23.25" thickBot="1" x14ac:dyDescent="0.3">
      <c r="A16" s="673" t="s">
        <v>3725</v>
      </c>
      <c r="B16" s="674" t="s">
        <v>1114</v>
      </c>
      <c r="C16" s="674" t="s">
        <v>3726</v>
      </c>
      <c r="D16" s="674" t="s">
        <v>3727</v>
      </c>
      <c r="E16" s="675" t="s">
        <v>3710</v>
      </c>
      <c r="F16" s="676" t="s">
        <v>3711</v>
      </c>
      <c r="G16" s="676" t="s">
        <v>3724</v>
      </c>
      <c r="H16" s="677">
        <v>643.75</v>
      </c>
    </row>
    <row r="17" spans="1:8" customFormat="1" ht="15.75" thickTop="1" x14ac:dyDescent="0.25">
      <c r="A17" s="665"/>
      <c r="B17" s="666"/>
      <c r="C17" s="666"/>
      <c r="D17" s="666"/>
      <c r="E17" s="666"/>
      <c r="F17" s="666"/>
      <c r="G17" s="666"/>
      <c r="H17" s="667"/>
    </row>
    <row r="18" spans="1:8" customFormat="1" ht="15" x14ac:dyDescent="0.25">
      <c r="A18" s="668" t="s">
        <v>3457</v>
      </c>
      <c r="B18" s="669" t="s">
        <v>3697</v>
      </c>
      <c r="C18" s="669" t="s">
        <v>3460</v>
      </c>
      <c r="D18" s="669" t="s">
        <v>3462</v>
      </c>
      <c r="E18" s="670" t="s">
        <v>69</v>
      </c>
      <c r="F18" s="671" t="s">
        <v>63</v>
      </c>
      <c r="G18" s="671" t="s">
        <v>3720</v>
      </c>
      <c r="H18" s="672" t="s">
        <v>453</v>
      </c>
    </row>
    <row r="19" spans="1:8" s="658" customFormat="1" ht="22.5" x14ac:dyDescent="0.25">
      <c r="A19" s="653" t="s">
        <v>3614</v>
      </c>
      <c r="B19" s="654" t="s">
        <v>3702</v>
      </c>
      <c r="C19" s="654" t="s">
        <v>1568</v>
      </c>
      <c r="D19" s="654" t="s">
        <v>3613</v>
      </c>
      <c r="E19" s="655" t="s">
        <v>56</v>
      </c>
      <c r="F19" s="656">
        <v>1</v>
      </c>
      <c r="G19" s="656" t="s">
        <v>3728</v>
      </c>
      <c r="H19" s="657" t="s">
        <v>3728</v>
      </c>
    </row>
    <row r="20" spans="1:8" customFormat="1" ht="15" x14ac:dyDescent="0.25">
      <c r="A20" s="659" t="s">
        <v>3729</v>
      </c>
      <c r="B20" s="660" t="s">
        <v>1114</v>
      </c>
      <c r="C20" s="660" t="s">
        <v>1299</v>
      </c>
      <c r="D20" s="660" t="s">
        <v>3502</v>
      </c>
      <c r="E20" s="661" t="s">
        <v>1116</v>
      </c>
      <c r="F20" s="662" t="s">
        <v>3730</v>
      </c>
      <c r="G20" s="662" t="s">
        <v>3731</v>
      </c>
      <c r="H20" s="663">
        <v>57</v>
      </c>
    </row>
    <row r="21" spans="1:8" customFormat="1" ht="15" x14ac:dyDescent="0.25">
      <c r="A21" s="659" t="s">
        <v>3732</v>
      </c>
      <c r="B21" s="660" t="s">
        <v>1114</v>
      </c>
      <c r="C21" s="660" t="s">
        <v>1287</v>
      </c>
      <c r="D21" s="660" t="s">
        <v>3502</v>
      </c>
      <c r="E21" s="661" t="s">
        <v>1116</v>
      </c>
      <c r="F21" s="662" t="s">
        <v>3733</v>
      </c>
      <c r="G21" s="662" t="s">
        <v>3734</v>
      </c>
      <c r="H21" s="663">
        <v>139.84</v>
      </c>
    </row>
    <row r="22" spans="1:8" customFormat="1" ht="15" x14ac:dyDescent="0.25">
      <c r="A22" s="659" t="s">
        <v>3735</v>
      </c>
      <c r="B22" s="660" t="s">
        <v>1114</v>
      </c>
      <c r="C22" s="660" t="s">
        <v>1133</v>
      </c>
      <c r="D22" s="660" t="s">
        <v>3502</v>
      </c>
      <c r="E22" s="661" t="s">
        <v>1116</v>
      </c>
      <c r="F22" s="662" t="s">
        <v>3733</v>
      </c>
      <c r="G22" s="662" t="s">
        <v>3736</v>
      </c>
      <c r="H22" s="663">
        <v>136.63999999999999</v>
      </c>
    </row>
    <row r="23" spans="1:8" customFormat="1" ht="15" x14ac:dyDescent="0.25">
      <c r="A23" s="659" t="s">
        <v>3737</v>
      </c>
      <c r="B23" s="660" t="s">
        <v>1114</v>
      </c>
      <c r="C23" s="660" t="s">
        <v>1134</v>
      </c>
      <c r="D23" s="660" t="s">
        <v>3502</v>
      </c>
      <c r="E23" s="661" t="s">
        <v>1116</v>
      </c>
      <c r="F23" s="662" t="s">
        <v>3738</v>
      </c>
      <c r="G23" s="662" t="s">
        <v>3739</v>
      </c>
      <c r="H23" s="663">
        <v>112.70559999999999</v>
      </c>
    </row>
    <row r="24" spans="1:8" customFormat="1" ht="15" x14ac:dyDescent="0.25">
      <c r="A24" s="659" t="s">
        <v>3740</v>
      </c>
      <c r="B24" s="660" t="s">
        <v>1114</v>
      </c>
      <c r="C24" s="660" t="s">
        <v>1132</v>
      </c>
      <c r="D24" s="660" t="s">
        <v>3502</v>
      </c>
      <c r="E24" s="661" t="s">
        <v>1116</v>
      </c>
      <c r="F24" s="662" t="s">
        <v>3733</v>
      </c>
      <c r="G24" s="662" t="s">
        <v>3741</v>
      </c>
      <c r="H24" s="663">
        <v>135.84</v>
      </c>
    </row>
    <row r="25" spans="1:8" customFormat="1" ht="15" x14ac:dyDescent="0.25">
      <c r="A25" s="673" t="s">
        <v>3742</v>
      </c>
      <c r="B25" s="674" t="s">
        <v>1114</v>
      </c>
      <c r="C25" s="674" t="s">
        <v>3743</v>
      </c>
      <c r="D25" s="674" t="s">
        <v>1175</v>
      </c>
      <c r="E25" s="675" t="s">
        <v>92</v>
      </c>
      <c r="F25" s="676" t="s">
        <v>3711</v>
      </c>
      <c r="G25" s="676" t="s">
        <v>3744</v>
      </c>
      <c r="H25" s="678">
        <v>8.8800000000000008</v>
      </c>
    </row>
    <row r="26" spans="1:8" customFormat="1" ht="15" x14ac:dyDescent="0.25">
      <c r="A26" s="673" t="s">
        <v>3745</v>
      </c>
      <c r="B26" s="674" t="s">
        <v>1114</v>
      </c>
      <c r="C26" s="674" t="s">
        <v>3746</v>
      </c>
      <c r="D26" s="674" t="s">
        <v>1175</v>
      </c>
      <c r="E26" s="675" t="s">
        <v>99</v>
      </c>
      <c r="F26" s="676" t="s">
        <v>3747</v>
      </c>
      <c r="G26" s="676" t="s">
        <v>3748</v>
      </c>
      <c r="H26" s="678">
        <v>44.1</v>
      </c>
    </row>
    <row r="27" spans="1:8" customFormat="1" ht="15" x14ac:dyDescent="0.25">
      <c r="A27" s="673" t="s">
        <v>3749</v>
      </c>
      <c r="B27" s="674" t="s">
        <v>1114</v>
      </c>
      <c r="C27" s="674" t="s">
        <v>1206</v>
      </c>
      <c r="D27" s="674" t="s">
        <v>1175</v>
      </c>
      <c r="E27" s="675" t="s">
        <v>273</v>
      </c>
      <c r="F27" s="676" t="s">
        <v>3750</v>
      </c>
      <c r="G27" s="676" t="s">
        <v>3751</v>
      </c>
      <c r="H27" s="678">
        <v>1.185975</v>
      </c>
    </row>
    <row r="28" spans="1:8" customFormat="1" ht="15" x14ac:dyDescent="0.25">
      <c r="A28" s="673" t="s">
        <v>3752</v>
      </c>
      <c r="B28" s="674" t="s">
        <v>1114</v>
      </c>
      <c r="C28" s="674" t="s">
        <v>1569</v>
      </c>
      <c r="D28" s="674" t="s">
        <v>1175</v>
      </c>
      <c r="E28" s="675" t="s">
        <v>56</v>
      </c>
      <c r="F28" s="676" t="s">
        <v>3711</v>
      </c>
      <c r="G28" s="676" t="s">
        <v>3753</v>
      </c>
      <c r="H28" s="678">
        <v>113.95</v>
      </c>
    </row>
    <row r="29" spans="1:8" customFormat="1" ht="15" x14ac:dyDescent="0.25">
      <c r="A29" s="673" t="s">
        <v>3754</v>
      </c>
      <c r="B29" s="674" t="s">
        <v>1114</v>
      </c>
      <c r="C29" s="674" t="s">
        <v>1570</v>
      </c>
      <c r="D29" s="674" t="s">
        <v>1175</v>
      </c>
      <c r="E29" s="675" t="s">
        <v>99</v>
      </c>
      <c r="F29" s="676" t="s">
        <v>3733</v>
      </c>
      <c r="G29" s="676" t="s">
        <v>3755</v>
      </c>
      <c r="H29" s="678">
        <v>50.08</v>
      </c>
    </row>
    <row r="30" spans="1:8" customFormat="1" ht="15" x14ac:dyDescent="0.25">
      <c r="A30" s="673" t="s">
        <v>3756</v>
      </c>
      <c r="B30" s="674" t="s">
        <v>1114</v>
      </c>
      <c r="C30" s="674" t="s">
        <v>1301</v>
      </c>
      <c r="D30" s="674" t="s">
        <v>1175</v>
      </c>
      <c r="E30" s="675" t="s">
        <v>99</v>
      </c>
      <c r="F30" s="676" t="s">
        <v>3757</v>
      </c>
      <c r="G30" s="676" t="s">
        <v>3758</v>
      </c>
      <c r="H30" s="678">
        <v>89.7</v>
      </c>
    </row>
    <row r="31" spans="1:8" customFormat="1" ht="22.5" x14ac:dyDescent="0.25">
      <c r="A31" s="673" t="s">
        <v>3759</v>
      </c>
      <c r="B31" s="674" t="s">
        <v>1114</v>
      </c>
      <c r="C31" s="674" t="s">
        <v>1571</v>
      </c>
      <c r="D31" s="674" t="s">
        <v>1175</v>
      </c>
      <c r="E31" s="675" t="s">
        <v>99</v>
      </c>
      <c r="F31" s="676" t="s">
        <v>3760</v>
      </c>
      <c r="G31" s="676" t="s">
        <v>3761</v>
      </c>
      <c r="H31" s="678">
        <v>242.49999999999997</v>
      </c>
    </row>
    <row r="32" spans="1:8" customFormat="1" ht="15" x14ac:dyDescent="0.25">
      <c r="A32" s="673" t="s">
        <v>3762</v>
      </c>
      <c r="B32" s="674" t="s">
        <v>1114</v>
      </c>
      <c r="C32" s="674" t="s">
        <v>1572</v>
      </c>
      <c r="D32" s="674" t="s">
        <v>1175</v>
      </c>
      <c r="E32" s="675" t="s">
        <v>56</v>
      </c>
      <c r="F32" s="676" t="s">
        <v>3757</v>
      </c>
      <c r="G32" s="676" t="s">
        <v>3763</v>
      </c>
      <c r="H32" s="678">
        <v>9</v>
      </c>
    </row>
    <row r="33" spans="1:8" customFormat="1" ht="15.75" thickBot="1" x14ac:dyDescent="0.3">
      <c r="A33" s="673" t="s">
        <v>3764</v>
      </c>
      <c r="B33" s="674" t="s">
        <v>1114</v>
      </c>
      <c r="C33" s="674" t="s">
        <v>1573</v>
      </c>
      <c r="D33" s="674" t="s">
        <v>1175</v>
      </c>
      <c r="E33" s="675" t="s">
        <v>56</v>
      </c>
      <c r="F33" s="676" t="s">
        <v>3711</v>
      </c>
      <c r="G33" s="676" t="s">
        <v>3765</v>
      </c>
      <c r="H33" s="677">
        <v>267.89999999999998</v>
      </c>
    </row>
    <row r="34" spans="1:8" customFormat="1" ht="15.75" thickTop="1" x14ac:dyDescent="0.25">
      <c r="A34" s="665"/>
      <c r="B34" s="666"/>
      <c r="C34" s="666"/>
      <c r="D34" s="666"/>
      <c r="E34" s="666"/>
      <c r="F34" s="666"/>
      <c r="G34" s="666"/>
      <c r="H34" s="667"/>
    </row>
    <row r="35" spans="1:8" customFormat="1" ht="15" x14ac:dyDescent="0.25">
      <c r="A35" s="668" t="s">
        <v>3457</v>
      </c>
      <c r="B35" s="669" t="s">
        <v>3697</v>
      </c>
      <c r="C35" s="669" t="s">
        <v>3460</v>
      </c>
      <c r="D35" s="669" t="s">
        <v>3462</v>
      </c>
      <c r="E35" s="670" t="s">
        <v>69</v>
      </c>
      <c r="F35" s="671" t="s">
        <v>63</v>
      </c>
      <c r="G35" s="671" t="s">
        <v>3720</v>
      </c>
      <c r="H35" s="672" t="s">
        <v>453</v>
      </c>
    </row>
    <row r="36" spans="1:8" s="658" customFormat="1" ht="33.75" x14ac:dyDescent="0.25">
      <c r="A36" s="653" t="s">
        <v>3485</v>
      </c>
      <c r="B36" s="654" t="s">
        <v>3702</v>
      </c>
      <c r="C36" s="654" t="s">
        <v>520</v>
      </c>
      <c r="D36" s="654" t="s">
        <v>3482</v>
      </c>
      <c r="E36" s="655" t="s">
        <v>92</v>
      </c>
      <c r="F36" s="656">
        <v>1</v>
      </c>
      <c r="G36" s="656" t="s">
        <v>3766</v>
      </c>
      <c r="H36" s="657" t="s">
        <v>3766</v>
      </c>
    </row>
    <row r="37" spans="1:8" customFormat="1" ht="15" x14ac:dyDescent="0.25">
      <c r="A37" s="659" t="s">
        <v>3767</v>
      </c>
      <c r="B37" s="660" t="s">
        <v>1114</v>
      </c>
      <c r="C37" s="660" t="s">
        <v>1120</v>
      </c>
      <c r="D37" s="660" t="s">
        <v>3502</v>
      </c>
      <c r="E37" s="661" t="s">
        <v>1116</v>
      </c>
      <c r="F37" s="662" t="s">
        <v>3768</v>
      </c>
      <c r="G37" s="662" t="s">
        <v>3769</v>
      </c>
      <c r="H37" s="663">
        <v>0.39615</v>
      </c>
    </row>
    <row r="38" spans="1:8" customFormat="1" ht="15" x14ac:dyDescent="0.25">
      <c r="A38" s="659" t="s">
        <v>3770</v>
      </c>
      <c r="B38" s="660" t="s">
        <v>1114</v>
      </c>
      <c r="C38" s="660" t="s">
        <v>1121</v>
      </c>
      <c r="D38" s="660" t="s">
        <v>3502</v>
      </c>
      <c r="E38" s="661" t="s">
        <v>1116</v>
      </c>
      <c r="F38" s="662" t="s">
        <v>3771</v>
      </c>
      <c r="G38" s="662" t="s">
        <v>3741</v>
      </c>
      <c r="H38" s="663">
        <v>2.9596140000000002</v>
      </c>
    </row>
    <row r="39" spans="1:8" customFormat="1" ht="22.5" x14ac:dyDescent="0.25">
      <c r="A39" s="659" t="s">
        <v>3772</v>
      </c>
      <c r="B39" s="660" t="s">
        <v>1114</v>
      </c>
      <c r="C39" s="660" t="s">
        <v>1297</v>
      </c>
      <c r="D39" s="660" t="s">
        <v>3482</v>
      </c>
      <c r="E39" s="661" t="s">
        <v>92</v>
      </c>
      <c r="F39" s="662" t="s">
        <v>3711</v>
      </c>
      <c r="G39" s="662" t="s">
        <v>3773</v>
      </c>
      <c r="H39" s="663">
        <v>7.29</v>
      </c>
    </row>
    <row r="40" spans="1:8" customFormat="1" ht="15" x14ac:dyDescent="0.25">
      <c r="A40" s="673" t="s">
        <v>3774</v>
      </c>
      <c r="B40" s="674" t="s">
        <v>1114</v>
      </c>
      <c r="C40" s="674" t="s">
        <v>1124</v>
      </c>
      <c r="D40" s="674" t="s">
        <v>1175</v>
      </c>
      <c r="E40" s="675" t="s">
        <v>92</v>
      </c>
      <c r="F40" s="676" t="s">
        <v>3775</v>
      </c>
      <c r="G40" s="676" t="s">
        <v>3776</v>
      </c>
      <c r="H40" s="678">
        <v>0.19875000000000001</v>
      </c>
    </row>
    <row r="41" spans="1:8" customFormat="1" ht="23.25" thickBot="1" x14ac:dyDescent="0.3">
      <c r="A41" s="673" t="s">
        <v>3777</v>
      </c>
      <c r="B41" s="674" t="s">
        <v>1114</v>
      </c>
      <c r="C41" s="674" t="s">
        <v>3778</v>
      </c>
      <c r="D41" s="674" t="s">
        <v>1175</v>
      </c>
      <c r="E41" s="675" t="s">
        <v>56</v>
      </c>
      <c r="F41" s="676" t="s">
        <v>3779</v>
      </c>
      <c r="G41" s="676" t="s">
        <v>3780</v>
      </c>
      <c r="H41" s="677">
        <v>0.14279999999999998</v>
      </c>
    </row>
    <row r="42" spans="1:8" customFormat="1" ht="15.75" thickTop="1" x14ac:dyDescent="0.25">
      <c r="A42" s="665"/>
      <c r="B42" s="666"/>
      <c r="C42" s="666"/>
      <c r="D42" s="666"/>
      <c r="E42" s="666"/>
      <c r="F42" s="666"/>
      <c r="G42" s="666"/>
      <c r="H42" s="667"/>
    </row>
    <row r="43" spans="1:8" customFormat="1" ht="15" x14ac:dyDescent="0.25">
      <c r="A43" s="668" t="s">
        <v>3457</v>
      </c>
      <c r="B43" s="669" t="s">
        <v>3697</v>
      </c>
      <c r="C43" s="669" t="s">
        <v>3460</v>
      </c>
      <c r="D43" s="669" t="s">
        <v>3462</v>
      </c>
      <c r="E43" s="670" t="s">
        <v>69</v>
      </c>
      <c r="F43" s="671" t="s">
        <v>63</v>
      </c>
      <c r="G43" s="671" t="s">
        <v>3720</v>
      </c>
      <c r="H43" s="672" t="s">
        <v>453</v>
      </c>
    </row>
    <row r="44" spans="1:8" s="658" customFormat="1" ht="33.75" x14ac:dyDescent="0.25">
      <c r="A44" s="653" t="s">
        <v>3486</v>
      </c>
      <c r="B44" s="654" t="s">
        <v>3702</v>
      </c>
      <c r="C44" s="654" t="s">
        <v>522</v>
      </c>
      <c r="D44" s="654" t="s">
        <v>3482</v>
      </c>
      <c r="E44" s="655" t="s">
        <v>92</v>
      </c>
      <c r="F44" s="656">
        <v>1</v>
      </c>
      <c r="G44" s="656" t="s">
        <v>3781</v>
      </c>
      <c r="H44" s="657" t="s">
        <v>3781</v>
      </c>
    </row>
    <row r="45" spans="1:8" customFormat="1" ht="15" x14ac:dyDescent="0.25">
      <c r="A45" s="659" t="s">
        <v>3767</v>
      </c>
      <c r="B45" s="660" t="s">
        <v>1114</v>
      </c>
      <c r="C45" s="660" t="s">
        <v>1120</v>
      </c>
      <c r="D45" s="660" t="s">
        <v>3502</v>
      </c>
      <c r="E45" s="661" t="s">
        <v>1116</v>
      </c>
      <c r="F45" s="662" t="s">
        <v>3782</v>
      </c>
      <c r="G45" s="662" t="s">
        <v>3769</v>
      </c>
      <c r="H45" s="663">
        <v>0.30302000000000001</v>
      </c>
    </row>
    <row r="46" spans="1:8" customFormat="1" ht="15" x14ac:dyDescent="0.25">
      <c r="A46" s="659" t="s">
        <v>3770</v>
      </c>
      <c r="B46" s="660" t="s">
        <v>1114</v>
      </c>
      <c r="C46" s="660" t="s">
        <v>1121</v>
      </c>
      <c r="D46" s="660" t="s">
        <v>3502</v>
      </c>
      <c r="E46" s="661" t="s">
        <v>1116</v>
      </c>
      <c r="F46" s="662" t="s">
        <v>3783</v>
      </c>
      <c r="G46" s="662" t="s">
        <v>3741</v>
      </c>
      <c r="H46" s="663">
        <v>2.25834</v>
      </c>
    </row>
    <row r="47" spans="1:8" customFormat="1" ht="22.5" x14ac:dyDescent="0.25">
      <c r="A47" s="659" t="s">
        <v>3784</v>
      </c>
      <c r="B47" s="660" t="s">
        <v>1114</v>
      </c>
      <c r="C47" s="660" t="s">
        <v>1298</v>
      </c>
      <c r="D47" s="660" t="s">
        <v>3482</v>
      </c>
      <c r="E47" s="661" t="s">
        <v>92</v>
      </c>
      <c r="F47" s="662" t="s">
        <v>3711</v>
      </c>
      <c r="G47" s="662" t="s">
        <v>3785</v>
      </c>
      <c r="H47" s="663">
        <v>7.11</v>
      </c>
    </row>
    <row r="48" spans="1:8" customFormat="1" ht="15" x14ac:dyDescent="0.25">
      <c r="A48" s="673" t="s">
        <v>3774</v>
      </c>
      <c r="B48" s="674" t="s">
        <v>1114</v>
      </c>
      <c r="C48" s="674" t="s">
        <v>1124</v>
      </c>
      <c r="D48" s="674" t="s">
        <v>1175</v>
      </c>
      <c r="E48" s="675" t="s">
        <v>92</v>
      </c>
      <c r="F48" s="676" t="s">
        <v>3775</v>
      </c>
      <c r="G48" s="676" t="s">
        <v>3776</v>
      </c>
      <c r="H48" s="678">
        <v>0.19875000000000001</v>
      </c>
    </row>
    <row r="49" spans="1:8" customFormat="1" ht="23.25" thickBot="1" x14ac:dyDescent="0.3">
      <c r="A49" s="673" t="s">
        <v>3777</v>
      </c>
      <c r="B49" s="674" t="s">
        <v>1114</v>
      </c>
      <c r="C49" s="674" t="s">
        <v>3778</v>
      </c>
      <c r="D49" s="674" t="s">
        <v>1175</v>
      </c>
      <c r="E49" s="675" t="s">
        <v>56</v>
      </c>
      <c r="F49" s="676" t="s">
        <v>3786</v>
      </c>
      <c r="G49" s="676" t="s">
        <v>3780</v>
      </c>
      <c r="H49" s="677">
        <v>0.11639999999999999</v>
      </c>
    </row>
    <row r="50" spans="1:8" customFormat="1" ht="15.75" thickTop="1" x14ac:dyDescent="0.25">
      <c r="A50" s="665"/>
      <c r="B50" s="666"/>
      <c r="C50" s="666"/>
      <c r="D50" s="666"/>
      <c r="E50" s="666"/>
      <c r="F50" s="666"/>
      <c r="G50" s="666"/>
      <c r="H50" s="667"/>
    </row>
    <row r="51" spans="1:8" customFormat="1" ht="15" x14ac:dyDescent="0.25">
      <c r="A51" s="668" t="s">
        <v>3457</v>
      </c>
      <c r="B51" s="669" t="s">
        <v>3697</v>
      </c>
      <c r="C51" s="669" t="s">
        <v>3460</v>
      </c>
      <c r="D51" s="669" t="s">
        <v>3462</v>
      </c>
      <c r="E51" s="670" t="s">
        <v>69</v>
      </c>
      <c r="F51" s="671" t="s">
        <v>63</v>
      </c>
      <c r="G51" s="671" t="s">
        <v>3720</v>
      </c>
      <c r="H51" s="672" t="s">
        <v>453</v>
      </c>
    </row>
    <row r="52" spans="1:8" s="658" customFormat="1" ht="33.75" x14ac:dyDescent="0.25">
      <c r="A52" s="653" t="s">
        <v>3487</v>
      </c>
      <c r="B52" s="654" t="s">
        <v>3702</v>
      </c>
      <c r="C52" s="654" t="s">
        <v>524</v>
      </c>
      <c r="D52" s="654" t="s">
        <v>3482</v>
      </c>
      <c r="E52" s="655" t="s">
        <v>92</v>
      </c>
      <c r="F52" s="656">
        <v>1</v>
      </c>
      <c r="G52" s="656" t="s">
        <v>3787</v>
      </c>
      <c r="H52" s="657" t="s">
        <v>3787</v>
      </c>
    </row>
    <row r="53" spans="1:8" customFormat="1" ht="15" x14ac:dyDescent="0.25">
      <c r="A53" s="659" t="s">
        <v>3767</v>
      </c>
      <c r="B53" s="660" t="s">
        <v>1114</v>
      </c>
      <c r="C53" s="660" t="s">
        <v>1120</v>
      </c>
      <c r="D53" s="660" t="s">
        <v>3502</v>
      </c>
      <c r="E53" s="661" t="s">
        <v>1116</v>
      </c>
      <c r="F53" s="662" t="s">
        <v>3788</v>
      </c>
      <c r="G53" s="662" t="s">
        <v>3769</v>
      </c>
      <c r="H53" s="663">
        <v>0.22517999999999999</v>
      </c>
    </row>
    <row r="54" spans="1:8" customFormat="1" ht="15" x14ac:dyDescent="0.25">
      <c r="A54" s="659" t="s">
        <v>3770</v>
      </c>
      <c r="B54" s="660" t="s">
        <v>1114</v>
      </c>
      <c r="C54" s="660" t="s">
        <v>1121</v>
      </c>
      <c r="D54" s="660" t="s">
        <v>3502</v>
      </c>
      <c r="E54" s="661" t="s">
        <v>1116</v>
      </c>
      <c r="F54" s="662" t="s">
        <v>3789</v>
      </c>
      <c r="G54" s="662" t="s">
        <v>3741</v>
      </c>
      <c r="H54" s="663">
        <v>1.6861140000000001</v>
      </c>
    </row>
    <row r="55" spans="1:8" customFormat="1" ht="22.5" x14ac:dyDescent="0.25">
      <c r="A55" s="659" t="s">
        <v>3790</v>
      </c>
      <c r="B55" s="660" t="s">
        <v>1114</v>
      </c>
      <c r="C55" s="660" t="s">
        <v>3791</v>
      </c>
      <c r="D55" s="660" t="s">
        <v>3482</v>
      </c>
      <c r="E55" s="661" t="s">
        <v>92</v>
      </c>
      <c r="F55" s="662" t="s">
        <v>3711</v>
      </c>
      <c r="G55" s="662" t="s">
        <v>3792</v>
      </c>
      <c r="H55" s="663">
        <v>7.24</v>
      </c>
    </row>
    <row r="56" spans="1:8" customFormat="1" ht="15" x14ac:dyDescent="0.25">
      <c r="A56" s="673" t="s">
        <v>3774</v>
      </c>
      <c r="B56" s="674" t="s">
        <v>1114</v>
      </c>
      <c r="C56" s="674" t="s">
        <v>1124</v>
      </c>
      <c r="D56" s="674" t="s">
        <v>1175</v>
      </c>
      <c r="E56" s="675" t="s">
        <v>92</v>
      </c>
      <c r="F56" s="676" t="s">
        <v>3775</v>
      </c>
      <c r="G56" s="676" t="s">
        <v>3776</v>
      </c>
      <c r="H56" s="678">
        <v>0.19875000000000001</v>
      </c>
    </row>
    <row r="57" spans="1:8" customFormat="1" ht="23.25" thickBot="1" x14ac:dyDescent="0.3">
      <c r="A57" s="673" t="s">
        <v>3777</v>
      </c>
      <c r="B57" s="674" t="s">
        <v>1114</v>
      </c>
      <c r="C57" s="674" t="s">
        <v>3778</v>
      </c>
      <c r="D57" s="674" t="s">
        <v>1175</v>
      </c>
      <c r="E57" s="675" t="s">
        <v>56</v>
      </c>
      <c r="F57" s="676" t="s">
        <v>3793</v>
      </c>
      <c r="G57" s="676" t="s">
        <v>3780</v>
      </c>
      <c r="H57" s="677">
        <v>8.9159999999999989E-2</v>
      </c>
    </row>
    <row r="58" spans="1:8" customFormat="1" ht="15.75" thickTop="1" x14ac:dyDescent="0.25">
      <c r="A58" s="665"/>
      <c r="B58" s="666"/>
      <c r="C58" s="666"/>
      <c r="D58" s="666"/>
      <c r="E58" s="666"/>
      <c r="F58" s="666"/>
      <c r="G58" s="666"/>
      <c r="H58" s="667"/>
    </row>
    <row r="59" spans="1:8" customFormat="1" ht="15" x14ac:dyDescent="0.25">
      <c r="A59" s="668" t="s">
        <v>3457</v>
      </c>
      <c r="B59" s="669" t="s">
        <v>3697</v>
      </c>
      <c r="C59" s="669" t="s">
        <v>3460</v>
      </c>
      <c r="D59" s="669" t="s">
        <v>3462</v>
      </c>
      <c r="E59" s="670" t="s">
        <v>69</v>
      </c>
      <c r="F59" s="671" t="s">
        <v>63</v>
      </c>
      <c r="G59" s="671" t="s">
        <v>3720</v>
      </c>
      <c r="H59" s="672" t="s">
        <v>453</v>
      </c>
    </row>
    <row r="60" spans="1:8" s="658" customFormat="1" ht="33.75" x14ac:dyDescent="0.25">
      <c r="A60" s="653" t="s">
        <v>3483</v>
      </c>
      <c r="B60" s="654" t="s">
        <v>3702</v>
      </c>
      <c r="C60" s="654" t="s">
        <v>516</v>
      </c>
      <c r="D60" s="654" t="s">
        <v>3482</v>
      </c>
      <c r="E60" s="655" t="s">
        <v>92</v>
      </c>
      <c r="F60" s="656">
        <v>1</v>
      </c>
      <c r="G60" s="656" t="s">
        <v>3794</v>
      </c>
      <c r="H60" s="657" t="s">
        <v>3794</v>
      </c>
    </row>
    <row r="61" spans="1:8" customFormat="1" ht="15" x14ac:dyDescent="0.25">
      <c r="A61" s="659" t="s">
        <v>3767</v>
      </c>
      <c r="B61" s="660" t="s">
        <v>1114</v>
      </c>
      <c r="C61" s="660" t="s">
        <v>1120</v>
      </c>
      <c r="D61" s="660" t="s">
        <v>3502</v>
      </c>
      <c r="E61" s="661" t="s">
        <v>1116</v>
      </c>
      <c r="F61" s="662" t="s">
        <v>3795</v>
      </c>
      <c r="G61" s="662" t="s">
        <v>3769</v>
      </c>
      <c r="H61" s="663">
        <v>0.16819000000000001</v>
      </c>
    </row>
    <row r="62" spans="1:8" customFormat="1" ht="15" x14ac:dyDescent="0.25">
      <c r="A62" s="659" t="s">
        <v>3770</v>
      </c>
      <c r="B62" s="660" t="s">
        <v>1114</v>
      </c>
      <c r="C62" s="660" t="s">
        <v>1121</v>
      </c>
      <c r="D62" s="660" t="s">
        <v>3502</v>
      </c>
      <c r="E62" s="661" t="s">
        <v>1116</v>
      </c>
      <c r="F62" s="662" t="s">
        <v>3796</v>
      </c>
      <c r="G62" s="662" t="s">
        <v>3741</v>
      </c>
      <c r="H62" s="663">
        <v>1.261614</v>
      </c>
    </row>
    <row r="63" spans="1:8" customFormat="1" ht="22.5" x14ac:dyDescent="0.25">
      <c r="A63" s="659" t="s">
        <v>3797</v>
      </c>
      <c r="B63" s="660" t="s">
        <v>1114</v>
      </c>
      <c r="C63" s="660" t="s">
        <v>1651</v>
      </c>
      <c r="D63" s="660" t="s">
        <v>3482</v>
      </c>
      <c r="E63" s="661" t="s">
        <v>92</v>
      </c>
      <c r="F63" s="662" t="s">
        <v>3711</v>
      </c>
      <c r="G63" s="662" t="s">
        <v>3798</v>
      </c>
      <c r="H63" s="663">
        <v>5.94</v>
      </c>
    </row>
    <row r="64" spans="1:8" customFormat="1" ht="15.75" thickBot="1" x14ac:dyDescent="0.3">
      <c r="A64" s="673" t="s">
        <v>3774</v>
      </c>
      <c r="B64" s="674" t="s">
        <v>1114</v>
      </c>
      <c r="C64" s="674" t="s">
        <v>1124</v>
      </c>
      <c r="D64" s="674" t="s">
        <v>1175</v>
      </c>
      <c r="E64" s="675" t="s">
        <v>92</v>
      </c>
      <c r="F64" s="676" t="s">
        <v>3775</v>
      </c>
      <c r="G64" s="676" t="s">
        <v>3776</v>
      </c>
      <c r="H64" s="677">
        <v>0.19875000000000001</v>
      </c>
    </row>
    <row r="65" spans="1:8" customFormat="1" ht="15.75" thickTop="1" x14ac:dyDescent="0.25">
      <c r="A65" s="665"/>
      <c r="B65" s="666"/>
      <c r="C65" s="666"/>
      <c r="D65" s="666"/>
      <c r="E65" s="666"/>
      <c r="F65" s="666"/>
      <c r="G65" s="666"/>
      <c r="H65" s="667"/>
    </row>
    <row r="66" spans="1:8" customFormat="1" ht="15" x14ac:dyDescent="0.25">
      <c r="A66" s="668" t="s">
        <v>3457</v>
      </c>
      <c r="B66" s="669" t="s">
        <v>3697</v>
      </c>
      <c r="C66" s="669" t="s">
        <v>3460</v>
      </c>
      <c r="D66" s="669" t="s">
        <v>3462</v>
      </c>
      <c r="E66" s="670" t="s">
        <v>69</v>
      </c>
      <c r="F66" s="671" t="s">
        <v>63</v>
      </c>
      <c r="G66" s="671" t="s">
        <v>3720</v>
      </c>
      <c r="H66" s="672" t="s">
        <v>453</v>
      </c>
    </row>
    <row r="67" spans="1:8" s="658" customFormat="1" ht="33.75" x14ac:dyDescent="0.25">
      <c r="A67" s="653" t="s">
        <v>3484</v>
      </c>
      <c r="B67" s="654" t="s">
        <v>3702</v>
      </c>
      <c r="C67" s="654" t="s">
        <v>518</v>
      </c>
      <c r="D67" s="654" t="s">
        <v>3482</v>
      </c>
      <c r="E67" s="655" t="s">
        <v>92</v>
      </c>
      <c r="F67" s="656">
        <v>1</v>
      </c>
      <c r="G67" s="656" t="s">
        <v>3799</v>
      </c>
      <c r="H67" s="657" t="s">
        <v>3799</v>
      </c>
    </row>
    <row r="68" spans="1:8" customFormat="1" ht="15" x14ac:dyDescent="0.25">
      <c r="A68" s="659" t="s">
        <v>3767</v>
      </c>
      <c r="B68" s="660" t="s">
        <v>1114</v>
      </c>
      <c r="C68" s="660" t="s">
        <v>1120</v>
      </c>
      <c r="D68" s="660" t="s">
        <v>3502</v>
      </c>
      <c r="E68" s="661" t="s">
        <v>1116</v>
      </c>
      <c r="F68" s="662" t="s">
        <v>3800</v>
      </c>
      <c r="G68" s="662" t="s">
        <v>3769</v>
      </c>
      <c r="H68" s="663">
        <v>0.12371</v>
      </c>
    </row>
    <row r="69" spans="1:8" customFormat="1" ht="15" x14ac:dyDescent="0.25">
      <c r="A69" s="659" t="s">
        <v>3770</v>
      </c>
      <c r="B69" s="660" t="s">
        <v>1114</v>
      </c>
      <c r="C69" s="660" t="s">
        <v>1121</v>
      </c>
      <c r="D69" s="660" t="s">
        <v>3502</v>
      </c>
      <c r="E69" s="661" t="s">
        <v>1116</v>
      </c>
      <c r="F69" s="662" t="s">
        <v>3801</v>
      </c>
      <c r="G69" s="662" t="s">
        <v>3741</v>
      </c>
      <c r="H69" s="663">
        <v>0.92031600000000002</v>
      </c>
    </row>
    <row r="70" spans="1:8" customFormat="1" ht="22.5" x14ac:dyDescent="0.25">
      <c r="A70" s="659" t="s">
        <v>3802</v>
      </c>
      <c r="B70" s="660" t="s">
        <v>1114</v>
      </c>
      <c r="C70" s="660" t="s">
        <v>3803</v>
      </c>
      <c r="D70" s="660" t="s">
        <v>3482</v>
      </c>
      <c r="E70" s="661" t="s">
        <v>92</v>
      </c>
      <c r="F70" s="662" t="s">
        <v>3711</v>
      </c>
      <c r="G70" s="662" t="s">
        <v>3804</v>
      </c>
      <c r="H70" s="663">
        <v>5.01</v>
      </c>
    </row>
    <row r="71" spans="1:8" customFormat="1" ht="15" x14ac:dyDescent="0.25">
      <c r="A71" s="673" t="s">
        <v>3774</v>
      </c>
      <c r="B71" s="674" t="s">
        <v>1114</v>
      </c>
      <c r="C71" s="674" t="s">
        <v>1124</v>
      </c>
      <c r="D71" s="674" t="s">
        <v>1175</v>
      </c>
      <c r="E71" s="675" t="s">
        <v>92</v>
      </c>
      <c r="F71" s="676" t="s">
        <v>3775</v>
      </c>
      <c r="G71" s="676" t="s">
        <v>3776</v>
      </c>
      <c r="H71" s="678">
        <v>0.19875000000000001</v>
      </c>
    </row>
    <row r="72" spans="1:8" customFormat="1" ht="23.25" thickBot="1" x14ac:dyDescent="0.3">
      <c r="A72" s="673" t="s">
        <v>3777</v>
      </c>
      <c r="B72" s="674" t="s">
        <v>1114</v>
      </c>
      <c r="C72" s="674" t="s">
        <v>3778</v>
      </c>
      <c r="D72" s="674" t="s">
        <v>1175</v>
      </c>
      <c r="E72" s="675" t="s">
        <v>56</v>
      </c>
      <c r="F72" s="676" t="s">
        <v>3805</v>
      </c>
      <c r="G72" s="676" t="s">
        <v>3780</v>
      </c>
      <c r="H72" s="677">
        <v>4.4039999999999996E-2</v>
      </c>
    </row>
    <row r="73" spans="1:8" customFormat="1" ht="15.75" thickTop="1" x14ac:dyDescent="0.25">
      <c r="A73" s="665"/>
      <c r="B73" s="666"/>
      <c r="C73" s="666"/>
      <c r="D73" s="666"/>
      <c r="E73" s="666"/>
      <c r="F73" s="666"/>
      <c r="G73" s="666"/>
      <c r="H73" s="667"/>
    </row>
    <row r="74" spans="1:8" customFormat="1" ht="15" x14ac:dyDescent="0.25">
      <c r="A74" s="668" t="s">
        <v>3457</v>
      </c>
      <c r="B74" s="669" t="s">
        <v>3697</v>
      </c>
      <c r="C74" s="669" t="s">
        <v>3460</v>
      </c>
      <c r="D74" s="669" t="s">
        <v>3462</v>
      </c>
      <c r="E74" s="670" t="s">
        <v>69</v>
      </c>
      <c r="F74" s="671" t="s">
        <v>63</v>
      </c>
      <c r="G74" s="671" t="s">
        <v>3720</v>
      </c>
      <c r="H74" s="672" t="s">
        <v>453</v>
      </c>
    </row>
    <row r="75" spans="1:8" s="658" customFormat="1" ht="22.5" x14ac:dyDescent="0.25">
      <c r="A75" s="653" t="s">
        <v>3480</v>
      </c>
      <c r="B75" s="654" t="s">
        <v>3702</v>
      </c>
      <c r="C75" s="654" t="s">
        <v>515</v>
      </c>
      <c r="D75" s="654" t="s">
        <v>3482</v>
      </c>
      <c r="E75" s="655" t="s">
        <v>273</v>
      </c>
      <c r="F75" s="656">
        <v>1</v>
      </c>
      <c r="G75" s="656" t="s">
        <v>3806</v>
      </c>
      <c r="H75" s="657" t="s">
        <v>3806</v>
      </c>
    </row>
    <row r="76" spans="1:8" customFormat="1" ht="23.25" thickBot="1" x14ac:dyDescent="0.3">
      <c r="A76" s="673" t="s">
        <v>3807</v>
      </c>
      <c r="B76" s="674" t="s">
        <v>1114</v>
      </c>
      <c r="C76" s="674" t="s">
        <v>515</v>
      </c>
      <c r="D76" s="674" t="s">
        <v>1175</v>
      </c>
      <c r="E76" s="675" t="s">
        <v>273</v>
      </c>
      <c r="F76" s="676" t="s">
        <v>3711</v>
      </c>
      <c r="G76" s="676" t="s">
        <v>3806</v>
      </c>
      <c r="H76" s="677">
        <v>294.68</v>
      </c>
    </row>
    <row r="77" spans="1:8" customFormat="1" ht="15.75" thickTop="1" x14ac:dyDescent="0.25">
      <c r="A77" s="665"/>
      <c r="B77" s="666"/>
      <c r="C77" s="666"/>
      <c r="D77" s="666"/>
      <c r="E77" s="666"/>
      <c r="F77" s="666"/>
      <c r="G77" s="666"/>
      <c r="H77" s="667"/>
    </row>
    <row r="78" spans="1:8" customFormat="1" ht="15" x14ac:dyDescent="0.25">
      <c r="A78" s="668" t="s">
        <v>3457</v>
      </c>
      <c r="B78" s="669" t="s">
        <v>3697</v>
      </c>
      <c r="C78" s="669" t="s">
        <v>3460</v>
      </c>
      <c r="D78" s="669" t="s">
        <v>3462</v>
      </c>
      <c r="E78" s="670" t="s">
        <v>69</v>
      </c>
      <c r="F78" s="671" t="s">
        <v>63</v>
      </c>
      <c r="G78" s="671" t="s">
        <v>3720</v>
      </c>
      <c r="H78" s="672" t="s">
        <v>453</v>
      </c>
    </row>
    <row r="79" spans="1:8" s="658" customFormat="1" ht="22.5" x14ac:dyDescent="0.25">
      <c r="A79" s="653" t="s">
        <v>3490</v>
      </c>
      <c r="B79" s="654" t="s">
        <v>3702</v>
      </c>
      <c r="C79" s="654" t="s">
        <v>587</v>
      </c>
      <c r="D79" s="654" t="s">
        <v>3482</v>
      </c>
      <c r="E79" s="655" t="s">
        <v>106</v>
      </c>
      <c r="F79" s="656">
        <v>1</v>
      </c>
      <c r="G79" s="656" t="s">
        <v>3808</v>
      </c>
      <c r="H79" s="657" t="s">
        <v>3808</v>
      </c>
    </row>
    <row r="80" spans="1:8" customFormat="1" ht="15" x14ac:dyDescent="0.25">
      <c r="A80" s="659" t="s">
        <v>3740</v>
      </c>
      <c r="B80" s="660" t="s">
        <v>1114</v>
      </c>
      <c r="C80" s="660" t="s">
        <v>1132</v>
      </c>
      <c r="D80" s="660" t="s">
        <v>3502</v>
      </c>
      <c r="E80" s="661" t="s">
        <v>1116</v>
      </c>
      <c r="F80" s="662" t="s">
        <v>3809</v>
      </c>
      <c r="G80" s="662" t="s">
        <v>3741</v>
      </c>
      <c r="H80" s="663">
        <v>3.2262</v>
      </c>
    </row>
    <row r="81" spans="1:8" customFormat="1" ht="15" x14ac:dyDescent="0.25">
      <c r="A81" s="659" t="s">
        <v>3735</v>
      </c>
      <c r="B81" s="660" t="s">
        <v>1114</v>
      </c>
      <c r="C81" s="660" t="s">
        <v>1133</v>
      </c>
      <c r="D81" s="660" t="s">
        <v>3502</v>
      </c>
      <c r="E81" s="661" t="s">
        <v>1116</v>
      </c>
      <c r="F81" s="662" t="s">
        <v>3810</v>
      </c>
      <c r="G81" s="662" t="s">
        <v>3736</v>
      </c>
      <c r="H81" s="663">
        <v>5.9779999999999989</v>
      </c>
    </row>
    <row r="82" spans="1:8" customFormat="1" ht="15" x14ac:dyDescent="0.25">
      <c r="A82" s="659" t="s">
        <v>3737</v>
      </c>
      <c r="B82" s="660" t="s">
        <v>1114</v>
      </c>
      <c r="C82" s="660" t="s">
        <v>1134</v>
      </c>
      <c r="D82" s="660" t="s">
        <v>3502</v>
      </c>
      <c r="E82" s="661" t="s">
        <v>1116</v>
      </c>
      <c r="F82" s="662" t="s">
        <v>3811</v>
      </c>
      <c r="G82" s="662" t="s">
        <v>3739</v>
      </c>
      <c r="H82" s="663">
        <v>11.798</v>
      </c>
    </row>
    <row r="83" spans="1:8" customFormat="1" ht="22.5" x14ac:dyDescent="0.25">
      <c r="A83" s="659" t="s">
        <v>3812</v>
      </c>
      <c r="B83" s="660" t="s">
        <v>1114</v>
      </c>
      <c r="C83" s="660" t="s">
        <v>514</v>
      </c>
      <c r="D83" s="660" t="s">
        <v>3482</v>
      </c>
      <c r="E83" s="661" t="s">
        <v>273</v>
      </c>
      <c r="F83" s="662" t="s">
        <v>3813</v>
      </c>
      <c r="G83" s="662" t="s">
        <v>3814</v>
      </c>
      <c r="H83" s="663">
        <v>1.44387</v>
      </c>
    </row>
    <row r="84" spans="1:8" customFormat="1" ht="22.5" x14ac:dyDescent="0.25">
      <c r="A84" s="659" t="s">
        <v>3480</v>
      </c>
      <c r="B84" s="660" t="s">
        <v>3702</v>
      </c>
      <c r="C84" s="660" t="s">
        <v>515</v>
      </c>
      <c r="D84" s="660" t="s">
        <v>3482</v>
      </c>
      <c r="E84" s="661" t="s">
        <v>273</v>
      </c>
      <c r="F84" s="662" t="s">
        <v>3813</v>
      </c>
      <c r="G84" s="662" t="s">
        <v>3806</v>
      </c>
      <c r="H84" s="663">
        <v>17.975480000000001</v>
      </c>
    </row>
    <row r="85" spans="1:8" customFormat="1" ht="15" x14ac:dyDescent="0.25">
      <c r="A85" s="673" t="s">
        <v>3815</v>
      </c>
      <c r="B85" s="674" t="s">
        <v>3702</v>
      </c>
      <c r="C85" s="674" t="s">
        <v>1136</v>
      </c>
      <c r="D85" s="674" t="s">
        <v>1175</v>
      </c>
      <c r="E85" s="675" t="s">
        <v>106</v>
      </c>
      <c r="F85" s="676" t="s">
        <v>3711</v>
      </c>
      <c r="G85" s="676" t="s">
        <v>3816</v>
      </c>
      <c r="H85" s="678">
        <v>28</v>
      </c>
    </row>
    <row r="86" spans="1:8" customFormat="1" ht="15" x14ac:dyDescent="0.25">
      <c r="A86" s="673" t="s">
        <v>3817</v>
      </c>
      <c r="B86" s="674" t="s">
        <v>1114</v>
      </c>
      <c r="C86" s="674" t="s">
        <v>1135</v>
      </c>
      <c r="D86" s="674" t="s">
        <v>1175</v>
      </c>
      <c r="E86" s="675" t="s">
        <v>99</v>
      </c>
      <c r="F86" s="676" t="s">
        <v>3818</v>
      </c>
      <c r="G86" s="676" t="s">
        <v>3819</v>
      </c>
      <c r="H86" s="678">
        <v>4.7520000000000007</v>
      </c>
    </row>
    <row r="87" spans="1:8" customFormat="1" ht="15" x14ac:dyDescent="0.25">
      <c r="A87" s="673" t="s">
        <v>3820</v>
      </c>
      <c r="B87" s="674" t="s">
        <v>1114</v>
      </c>
      <c r="C87" s="674" t="s">
        <v>3821</v>
      </c>
      <c r="D87" s="674" t="s">
        <v>1175</v>
      </c>
      <c r="E87" s="675" t="s">
        <v>92</v>
      </c>
      <c r="F87" s="676" t="s">
        <v>3822</v>
      </c>
      <c r="G87" s="676" t="s">
        <v>3823</v>
      </c>
      <c r="H87" s="678">
        <v>0.16039999999999999</v>
      </c>
    </row>
    <row r="88" spans="1:8" customFormat="1" ht="15.75" thickBot="1" x14ac:dyDescent="0.3">
      <c r="A88" s="673" t="s">
        <v>3754</v>
      </c>
      <c r="B88" s="674" t="s">
        <v>1114</v>
      </c>
      <c r="C88" s="674" t="s">
        <v>1570</v>
      </c>
      <c r="D88" s="674" t="s">
        <v>1175</v>
      </c>
      <c r="E88" s="675" t="s">
        <v>99</v>
      </c>
      <c r="F88" s="676" t="s">
        <v>3824</v>
      </c>
      <c r="G88" s="676" t="s">
        <v>3755</v>
      </c>
      <c r="H88" s="677">
        <v>1.8779999999999999</v>
      </c>
    </row>
    <row r="89" spans="1:8" customFormat="1" ht="15.75" thickTop="1" x14ac:dyDescent="0.25">
      <c r="A89" s="665"/>
      <c r="B89" s="666"/>
      <c r="C89" s="666"/>
      <c r="D89" s="666"/>
      <c r="E89" s="666"/>
      <c r="F89" s="666"/>
      <c r="G89" s="666"/>
      <c r="H89" s="667"/>
    </row>
    <row r="90" spans="1:8" customFormat="1" ht="15" x14ac:dyDescent="0.25">
      <c r="A90" s="668" t="s">
        <v>3457</v>
      </c>
      <c r="B90" s="669" t="s">
        <v>3697</v>
      </c>
      <c r="C90" s="669" t="s">
        <v>3460</v>
      </c>
      <c r="D90" s="669" t="s">
        <v>3462</v>
      </c>
      <c r="E90" s="670" t="s">
        <v>69</v>
      </c>
      <c r="F90" s="671" t="s">
        <v>63</v>
      </c>
      <c r="G90" s="671" t="s">
        <v>3720</v>
      </c>
      <c r="H90" s="672" t="s">
        <v>453</v>
      </c>
    </row>
    <row r="91" spans="1:8" s="658" customFormat="1" ht="22.5" x14ac:dyDescent="0.25">
      <c r="A91" s="653" t="s">
        <v>3501</v>
      </c>
      <c r="B91" s="654" t="s">
        <v>3702</v>
      </c>
      <c r="C91" s="654" t="s">
        <v>643</v>
      </c>
      <c r="D91" s="654" t="s">
        <v>3502</v>
      </c>
      <c r="E91" s="655" t="s">
        <v>273</v>
      </c>
      <c r="F91" s="656">
        <v>1</v>
      </c>
      <c r="G91" s="656" t="s">
        <v>3825</v>
      </c>
      <c r="H91" s="657" t="s">
        <v>3825</v>
      </c>
    </row>
    <row r="92" spans="1:8" customFormat="1" ht="15" x14ac:dyDescent="0.25">
      <c r="A92" s="659" t="s">
        <v>3737</v>
      </c>
      <c r="B92" s="660" t="s">
        <v>1114</v>
      </c>
      <c r="C92" s="660" t="s">
        <v>1134</v>
      </c>
      <c r="D92" s="660" t="s">
        <v>3502</v>
      </c>
      <c r="E92" s="661" t="s">
        <v>1116</v>
      </c>
      <c r="F92" s="662" t="s">
        <v>3826</v>
      </c>
      <c r="G92" s="662" t="s">
        <v>3739</v>
      </c>
      <c r="H92" s="663">
        <v>27.76</v>
      </c>
    </row>
    <row r="93" spans="1:8" customFormat="1" ht="15.75" thickBot="1" x14ac:dyDescent="0.3">
      <c r="A93" s="673" t="s">
        <v>3827</v>
      </c>
      <c r="B93" s="674" t="s">
        <v>1114</v>
      </c>
      <c r="C93" s="674" t="s">
        <v>1142</v>
      </c>
      <c r="D93" s="674" t="s">
        <v>1175</v>
      </c>
      <c r="E93" s="675" t="s">
        <v>273</v>
      </c>
      <c r="F93" s="676" t="s">
        <v>3828</v>
      </c>
      <c r="G93" s="676" t="s">
        <v>3829</v>
      </c>
      <c r="H93" s="677">
        <v>59.64</v>
      </c>
    </row>
    <row r="94" spans="1:8" customFormat="1" ht="15.75" thickTop="1" x14ac:dyDescent="0.25">
      <c r="A94" s="665"/>
      <c r="B94" s="666"/>
      <c r="C94" s="666"/>
      <c r="D94" s="666"/>
      <c r="E94" s="666"/>
      <c r="F94" s="666"/>
      <c r="G94" s="666"/>
      <c r="H94" s="667"/>
    </row>
    <row r="95" spans="1:8" customFormat="1" ht="15" x14ac:dyDescent="0.25">
      <c r="A95" s="668" t="s">
        <v>3457</v>
      </c>
      <c r="B95" s="669" t="s">
        <v>3697</v>
      </c>
      <c r="C95" s="669" t="s">
        <v>3460</v>
      </c>
      <c r="D95" s="669" t="s">
        <v>3462</v>
      </c>
      <c r="E95" s="670" t="s">
        <v>69</v>
      </c>
      <c r="F95" s="671" t="s">
        <v>63</v>
      </c>
      <c r="G95" s="671" t="s">
        <v>3720</v>
      </c>
      <c r="H95" s="672" t="s">
        <v>453</v>
      </c>
    </row>
    <row r="96" spans="1:8" s="658" customFormat="1" ht="22.5" x14ac:dyDescent="0.25">
      <c r="A96" s="653" t="s">
        <v>3491</v>
      </c>
      <c r="B96" s="654" t="s">
        <v>3702</v>
      </c>
      <c r="C96" s="654" t="s">
        <v>592</v>
      </c>
      <c r="D96" s="654" t="s">
        <v>3482</v>
      </c>
      <c r="E96" s="655" t="s">
        <v>92</v>
      </c>
      <c r="F96" s="656">
        <v>1</v>
      </c>
      <c r="G96" s="656" t="s">
        <v>3830</v>
      </c>
      <c r="H96" s="657" t="s">
        <v>3830</v>
      </c>
    </row>
    <row r="97" spans="1:8" customFormat="1" ht="15" x14ac:dyDescent="0.25">
      <c r="A97" s="659" t="s">
        <v>3831</v>
      </c>
      <c r="B97" s="660" t="s">
        <v>1114</v>
      </c>
      <c r="C97" s="660" t="s">
        <v>1145</v>
      </c>
      <c r="D97" s="660" t="s">
        <v>3502</v>
      </c>
      <c r="E97" s="661" t="s">
        <v>1116</v>
      </c>
      <c r="F97" s="662" t="s">
        <v>3822</v>
      </c>
      <c r="G97" s="662" t="s">
        <v>3832</v>
      </c>
      <c r="H97" s="663">
        <v>0.32600000000000001</v>
      </c>
    </row>
    <row r="98" spans="1:8" customFormat="1" ht="15" x14ac:dyDescent="0.25">
      <c r="A98" s="659" t="s">
        <v>3833</v>
      </c>
      <c r="B98" s="660" t="s">
        <v>1114</v>
      </c>
      <c r="C98" s="660" t="s">
        <v>1146</v>
      </c>
      <c r="D98" s="660" t="s">
        <v>3502</v>
      </c>
      <c r="E98" s="661" t="s">
        <v>1116</v>
      </c>
      <c r="F98" s="662" t="s">
        <v>3822</v>
      </c>
      <c r="G98" s="662" t="s">
        <v>3834</v>
      </c>
      <c r="H98" s="663">
        <v>0.26819999999999999</v>
      </c>
    </row>
    <row r="99" spans="1:8" customFormat="1" ht="15" x14ac:dyDescent="0.25">
      <c r="A99" s="659" t="s">
        <v>3835</v>
      </c>
      <c r="B99" s="660" t="s">
        <v>1114</v>
      </c>
      <c r="C99" s="660" t="s">
        <v>1147</v>
      </c>
      <c r="D99" s="660" t="s">
        <v>3502</v>
      </c>
      <c r="E99" s="661" t="s">
        <v>1116</v>
      </c>
      <c r="F99" s="662" t="s">
        <v>3836</v>
      </c>
      <c r="G99" s="662" t="s">
        <v>3837</v>
      </c>
      <c r="H99" s="663">
        <v>5.1060000000000001E-2</v>
      </c>
    </row>
    <row r="100" spans="1:8" customFormat="1" ht="15" x14ac:dyDescent="0.25">
      <c r="A100" s="659" t="s">
        <v>3737</v>
      </c>
      <c r="B100" s="660" t="s">
        <v>1114</v>
      </c>
      <c r="C100" s="660" t="s">
        <v>1134</v>
      </c>
      <c r="D100" s="660" t="s">
        <v>3502</v>
      </c>
      <c r="E100" s="661" t="s">
        <v>1116</v>
      </c>
      <c r="F100" s="662" t="s">
        <v>3836</v>
      </c>
      <c r="G100" s="662" t="s">
        <v>3739</v>
      </c>
      <c r="H100" s="663">
        <v>4.1640000000000003E-2</v>
      </c>
    </row>
    <row r="101" spans="1:8" customFormat="1" ht="15" x14ac:dyDescent="0.25">
      <c r="A101" s="659" t="s">
        <v>3838</v>
      </c>
      <c r="B101" s="660" t="s">
        <v>1114</v>
      </c>
      <c r="C101" s="660" t="s">
        <v>1148</v>
      </c>
      <c r="D101" s="660" t="s">
        <v>3502</v>
      </c>
      <c r="E101" s="661" t="s">
        <v>1116</v>
      </c>
      <c r="F101" s="662" t="s">
        <v>3839</v>
      </c>
      <c r="G101" s="662" t="s">
        <v>3840</v>
      </c>
      <c r="H101" s="663">
        <v>0.35200000000000004</v>
      </c>
    </row>
    <row r="102" spans="1:8" customFormat="1" ht="15" x14ac:dyDescent="0.25">
      <c r="A102" s="659" t="s">
        <v>3841</v>
      </c>
      <c r="B102" s="660" t="s">
        <v>1114</v>
      </c>
      <c r="C102" s="660" t="s">
        <v>1149</v>
      </c>
      <c r="D102" s="660" t="s">
        <v>3502</v>
      </c>
      <c r="E102" s="661" t="s">
        <v>1116</v>
      </c>
      <c r="F102" s="662" t="s">
        <v>3839</v>
      </c>
      <c r="G102" s="662" t="s">
        <v>3741</v>
      </c>
      <c r="H102" s="663">
        <v>0.67920000000000003</v>
      </c>
    </row>
    <row r="103" spans="1:8" customFormat="1" ht="15" x14ac:dyDescent="0.25">
      <c r="A103" s="673" t="s">
        <v>3842</v>
      </c>
      <c r="B103" s="674" t="s">
        <v>3702</v>
      </c>
      <c r="C103" s="674" t="s">
        <v>1144</v>
      </c>
      <c r="D103" s="674" t="s">
        <v>1175</v>
      </c>
      <c r="E103" s="675" t="s">
        <v>92</v>
      </c>
      <c r="F103" s="676" t="s">
        <v>3843</v>
      </c>
      <c r="G103" s="676" t="s">
        <v>3844</v>
      </c>
      <c r="H103" s="678">
        <v>2.5619999999999998</v>
      </c>
    </row>
    <row r="104" spans="1:8" customFormat="1" ht="15" x14ac:dyDescent="0.25">
      <c r="A104" s="673" t="s">
        <v>3845</v>
      </c>
      <c r="B104" s="674" t="s">
        <v>1114</v>
      </c>
      <c r="C104" s="674" t="s">
        <v>3846</v>
      </c>
      <c r="D104" s="674" t="s">
        <v>1175</v>
      </c>
      <c r="E104" s="675" t="s">
        <v>99</v>
      </c>
      <c r="F104" s="676" t="s">
        <v>3847</v>
      </c>
      <c r="G104" s="676" t="s">
        <v>3848</v>
      </c>
      <c r="H104" s="678">
        <v>2.455616</v>
      </c>
    </row>
    <row r="105" spans="1:8" customFormat="1" ht="15" x14ac:dyDescent="0.25">
      <c r="A105" s="673" t="s">
        <v>3849</v>
      </c>
      <c r="B105" s="674" t="s">
        <v>1114</v>
      </c>
      <c r="C105" s="674" t="s">
        <v>1150</v>
      </c>
      <c r="D105" s="674" t="s">
        <v>1175</v>
      </c>
      <c r="E105" s="675" t="s">
        <v>1151</v>
      </c>
      <c r="F105" s="676" t="s">
        <v>3850</v>
      </c>
      <c r="G105" s="676" t="s">
        <v>3851</v>
      </c>
      <c r="H105" s="678">
        <v>4.7449999999999999E-2</v>
      </c>
    </row>
    <row r="106" spans="1:8" customFormat="1" ht="15" x14ac:dyDescent="0.25">
      <c r="A106" s="673" t="s">
        <v>3852</v>
      </c>
      <c r="B106" s="674" t="s">
        <v>1114</v>
      </c>
      <c r="C106" s="674" t="s">
        <v>1214</v>
      </c>
      <c r="D106" s="674" t="s">
        <v>1175</v>
      </c>
      <c r="E106" s="675" t="s">
        <v>92</v>
      </c>
      <c r="F106" s="676" t="s">
        <v>3853</v>
      </c>
      <c r="G106" s="676" t="s">
        <v>3854</v>
      </c>
      <c r="H106" s="678">
        <v>0.15651999999999999</v>
      </c>
    </row>
    <row r="107" spans="1:8" customFormat="1" ht="15.75" thickBot="1" x14ac:dyDescent="0.3">
      <c r="A107" s="673" t="s">
        <v>3855</v>
      </c>
      <c r="B107" s="674" t="s">
        <v>1114</v>
      </c>
      <c r="C107" s="674" t="s">
        <v>1152</v>
      </c>
      <c r="D107" s="674" t="s">
        <v>1175</v>
      </c>
      <c r="E107" s="675" t="s">
        <v>1151</v>
      </c>
      <c r="F107" s="676" t="s">
        <v>3856</v>
      </c>
      <c r="G107" s="676" t="s">
        <v>3857</v>
      </c>
      <c r="H107" s="677">
        <v>3.1859999999999996E-3</v>
      </c>
    </row>
    <row r="108" spans="1:8" customFormat="1" ht="15.75" thickTop="1" x14ac:dyDescent="0.25">
      <c r="A108" s="665"/>
      <c r="B108" s="666"/>
      <c r="C108" s="666"/>
      <c r="D108" s="666"/>
      <c r="E108" s="666"/>
      <c r="F108" s="666"/>
      <c r="G108" s="666"/>
      <c r="H108" s="667"/>
    </row>
    <row r="109" spans="1:8" customFormat="1" ht="15" x14ac:dyDescent="0.25">
      <c r="A109" s="668" t="s">
        <v>3457</v>
      </c>
      <c r="B109" s="669" t="s">
        <v>3697</v>
      </c>
      <c r="C109" s="669" t="s">
        <v>3460</v>
      </c>
      <c r="D109" s="669" t="s">
        <v>3462</v>
      </c>
      <c r="E109" s="670" t="s">
        <v>69</v>
      </c>
      <c r="F109" s="671" t="s">
        <v>63</v>
      </c>
      <c r="G109" s="671" t="s">
        <v>3720</v>
      </c>
      <c r="H109" s="672" t="s">
        <v>453</v>
      </c>
    </row>
    <row r="110" spans="1:8" s="658" customFormat="1" ht="22.5" x14ac:dyDescent="0.25">
      <c r="A110" s="653" t="s">
        <v>3492</v>
      </c>
      <c r="B110" s="654" t="s">
        <v>3702</v>
      </c>
      <c r="C110" s="654" t="s">
        <v>594</v>
      </c>
      <c r="D110" s="654" t="s">
        <v>3482</v>
      </c>
      <c r="E110" s="655" t="s">
        <v>92</v>
      </c>
      <c r="F110" s="656">
        <v>1</v>
      </c>
      <c r="G110" s="656" t="s">
        <v>3858</v>
      </c>
      <c r="H110" s="657" t="s">
        <v>3858</v>
      </c>
    </row>
    <row r="111" spans="1:8" customFormat="1" ht="15" x14ac:dyDescent="0.25">
      <c r="A111" s="659" t="s">
        <v>3859</v>
      </c>
      <c r="B111" s="660" t="s">
        <v>1114</v>
      </c>
      <c r="C111" s="660" t="s">
        <v>1153</v>
      </c>
      <c r="D111" s="660" t="s">
        <v>3502</v>
      </c>
      <c r="E111" s="661" t="s">
        <v>1116</v>
      </c>
      <c r="F111" s="662" t="s">
        <v>3822</v>
      </c>
      <c r="G111" s="662" t="s">
        <v>3860</v>
      </c>
      <c r="H111" s="663">
        <v>0.2248</v>
      </c>
    </row>
    <row r="112" spans="1:8" customFormat="1" ht="15" x14ac:dyDescent="0.25">
      <c r="A112" s="659" t="s">
        <v>3838</v>
      </c>
      <c r="B112" s="660" t="s">
        <v>1114</v>
      </c>
      <c r="C112" s="660" t="s">
        <v>1148</v>
      </c>
      <c r="D112" s="660" t="s">
        <v>3502</v>
      </c>
      <c r="E112" s="661" t="s">
        <v>1116</v>
      </c>
      <c r="F112" s="662" t="s">
        <v>3861</v>
      </c>
      <c r="G112" s="662" t="s">
        <v>3840</v>
      </c>
      <c r="H112" s="663">
        <v>0.52800000000000002</v>
      </c>
    </row>
    <row r="113" spans="1:8" customFormat="1" ht="34.5" thickBot="1" x14ac:dyDescent="0.3">
      <c r="A113" s="673" t="s">
        <v>3862</v>
      </c>
      <c r="B113" s="674" t="s">
        <v>1114</v>
      </c>
      <c r="C113" s="674" t="s">
        <v>3863</v>
      </c>
      <c r="D113" s="674" t="s">
        <v>3727</v>
      </c>
      <c r="E113" s="675" t="s">
        <v>1116</v>
      </c>
      <c r="F113" s="676" t="s">
        <v>3864</v>
      </c>
      <c r="G113" s="676" t="s">
        <v>3865</v>
      </c>
      <c r="H113" s="677">
        <v>0.9</v>
      </c>
    </row>
    <row r="114" spans="1:8" customFormat="1" ht="15.75" thickTop="1" x14ac:dyDescent="0.25">
      <c r="A114" s="665"/>
      <c r="B114" s="666"/>
      <c r="C114" s="666"/>
      <c r="D114" s="666"/>
      <c r="E114" s="666"/>
      <c r="F114" s="666"/>
      <c r="G114" s="666"/>
      <c r="H114" s="667"/>
    </row>
    <row r="115" spans="1:8" customFormat="1" ht="15" x14ac:dyDescent="0.25">
      <c r="A115" s="668" t="s">
        <v>3457</v>
      </c>
      <c r="B115" s="669" t="s">
        <v>3697</v>
      </c>
      <c r="C115" s="669" t="s">
        <v>3460</v>
      </c>
      <c r="D115" s="669" t="s">
        <v>3462</v>
      </c>
      <c r="E115" s="670" t="s">
        <v>69</v>
      </c>
      <c r="F115" s="671" t="s">
        <v>63</v>
      </c>
      <c r="G115" s="671" t="s">
        <v>3720</v>
      </c>
      <c r="H115" s="672" t="s">
        <v>453</v>
      </c>
    </row>
    <row r="116" spans="1:8" s="658" customFormat="1" ht="22.5" x14ac:dyDescent="0.25">
      <c r="A116" s="653" t="s">
        <v>3506</v>
      </c>
      <c r="B116" s="654" t="s">
        <v>3702</v>
      </c>
      <c r="C116" s="654" t="s">
        <v>816</v>
      </c>
      <c r="D116" s="654" t="s">
        <v>3866</v>
      </c>
      <c r="E116" s="655" t="s">
        <v>106</v>
      </c>
      <c r="F116" s="656">
        <v>1</v>
      </c>
      <c r="G116" s="656" t="s">
        <v>3867</v>
      </c>
      <c r="H116" s="657" t="s">
        <v>3867</v>
      </c>
    </row>
    <row r="117" spans="1:8" customFormat="1" ht="15" x14ac:dyDescent="0.25">
      <c r="A117" s="659" t="s">
        <v>3737</v>
      </c>
      <c r="B117" s="660" t="s">
        <v>1114</v>
      </c>
      <c r="C117" s="660" t="s">
        <v>1134</v>
      </c>
      <c r="D117" s="660" t="s">
        <v>3502</v>
      </c>
      <c r="E117" s="661" t="s">
        <v>1116</v>
      </c>
      <c r="F117" s="662" t="s">
        <v>3868</v>
      </c>
      <c r="G117" s="662" t="s">
        <v>3739</v>
      </c>
      <c r="H117" s="663">
        <v>1.3324800000000001</v>
      </c>
    </row>
    <row r="118" spans="1:8" customFormat="1" ht="15" x14ac:dyDescent="0.25">
      <c r="A118" s="659" t="s">
        <v>3869</v>
      </c>
      <c r="B118" s="660" t="s">
        <v>1114</v>
      </c>
      <c r="C118" s="660" t="s">
        <v>1155</v>
      </c>
      <c r="D118" s="660" t="s">
        <v>3502</v>
      </c>
      <c r="E118" s="661" t="s">
        <v>1116</v>
      </c>
      <c r="F118" s="662" t="s">
        <v>3870</v>
      </c>
      <c r="G118" s="662" t="s">
        <v>3871</v>
      </c>
      <c r="H118" s="663">
        <v>1.3923000000000001</v>
      </c>
    </row>
    <row r="119" spans="1:8" customFormat="1" ht="33.75" x14ac:dyDescent="0.25">
      <c r="A119" s="659" t="s">
        <v>3872</v>
      </c>
      <c r="B119" s="660" t="s">
        <v>1114</v>
      </c>
      <c r="C119" s="660" t="s">
        <v>1156</v>
      </c>
      <c r="D119" s="660" t="s">
        <v>3873</v>
      </c>
      <c r="E119" s="661" t="s">
        <v>1157</v>
      </c>
      <c r="F119" s="662" t="s">
        <v>3874</v>
      </c>
      <c r="G119" s="662" t="s">
        <v>3875</v>
      </c>
      <c r="H119" s="663">
        <v>0.184415</v>
      </c>
    </row>
    <row r="120" spans="1:8" customFormat="1" ht="33.75" x14ac:dyDescent="0.25">
      <c r="A120" s="659" t="s">
        <v>3876</v>
      </c>
      <c r="B120" s="660" t="s">
        <v>1114</v>
      </c>
      <c r="C120" s="660" t="s">
        <v>1158</v>
      </c>
      <c r="D120" s="660" t="s">
        <v>3873</v>
      </c>
      <c r="E120" s="661" t="s">
        <v>1159</v>
      </c>
      <c r="F120" s="662" t="s">
        <v>3877</v>
      </c>
      <c r="G120" s="662" t="s">
        <v>3878</v>
      </c>
      <c r="H120" s="663">
        <v>9.8530000000000006E-2</v>
      </c>
    </row>
    <row r="121" spans="1:8" customFormat="1" ht="15" x14ac:dyDescent="0.25">
      <c r="A121" s="673" t="s">
        <v>3879</v>
      </c>
      <c r="B121" s="674" t="s">
        <v>1114</v>
      </c>
      <c r="C121" s="674" t="s">
        <v>1160</v>
      </c>
      <c r="D121" s="674" t="s">
        <v>1175</v>
      </c>
      <c r="E121" s="675" t="s">
        <v>106</v>
      </c>
      <c r="F121" s="676" t="s">
        <v>3880</v>
      </c>
      <c r="G121" s="676" t="s">
        <v>3881</v>
      </c>
      <c r="H121" s="678">
        <v>30.774799999999999</v>
      </c>
    </row>
    <row r="122" spans="1:8" customFormat="1" ht="23.25" thickBot="1" x14ac:dyDescent="0.3">
      <c r="A122" s="673" t="s">
        <v>3882</v>
      </c>
      <c r="B122" s="674" t="s">
        <v>1114</v>
      </c>
      <c r="C122" s="674" t="s">
        <v>1161</v>
      </c>
      <c r="D122" s="674" t="s">
        <v>1175</v>
      </c>
      <c r="E122" s="675" t="s">
        <v>272</v>
      </c>
      <c r="F122" s="676" t="s">
        <v>3883</v>
      </c>
      <c r="G122" s="676" t="s">
        <v>3884</v>
      </c>
      <c r="H122" s="677">
        <v>4.6065000000000005</v>
      </c>
    </row>
    <row r="123" spans="1:8" customFormat="1" ht="15.75" thickTop="1" x14ac:dyDescent="0.25">
      <c r="A123" s="665"/>
      <c r="B123" s="666"/>
      <c r="C123" s="666"/>
      <c r="D123" s="666"/>
      <c r="E123" s="666"/>
      <c r="F123" s="666"/>
      <c r="G123" s="666"/>
      <c r="H123" s="667"/>
    </row>
    <row r="124" spans="1:8" customFormat="1" ht="15" x14ac:dyDescent="0.25">
      <c r="A124" s="668" t="s">
        <v>3457</v>
      </c>
      <c r="B124" s="669" t="s">
        <v>3697</v>
      </c>
      <c r="C124" s="669" t="s">
        <v>3460</v>
      </c>
      <c r="D124" s="669" t="s">
        <v>3462</v>
      </c>
      <c r="E124" s="670" t="s">
        <v>69</v>
      </c>
      <c r="F124" s="671" t="s">
        <v>63</v>
      </c>
      <c r="G124" s="671" t="s">
        <v>3720</v>
      </c>
      <c r="H124" s="672" t="s">
        <v>453</v>
      </c>
    </row>
    <row r="125" spans="1:8" s="658" customFormat="1" ht="33.75" x14ac:dyDescent="0.25">
      <c r="A125" s="653" t="s">
        <v>3626</v>
      </c>
      <c r="B125" s="654" t="s">
        <v>3702</v>
      </c>
      <c r="C125" s="654" t="s">
        <v>2729</v>
      </c>
      <c r="D125" s="654" t="s">
        <v>3500</v>
      </c>
      <c r="E125" s="655" t="s">
        <v>56</v>
      </c>
      <c r="F125" s="656">
        <v>1</v>
      </c>
      <c r="G125" s="656" t="s">
        <v>3885</v>
      </c>
      <c r="H125" s="657" t="s">
        <v>3885</v>
      </c>
    </row>
    <row r="126" spans="1:8" customFormat="1" ht="15" x14ac:dyDescent="0.25">
      <c r="A126" s="659" t="s">
        <v>3735</v>
      </c>
      <c r="B126" s="660" t="s">
        <v>1114</v>
      </c>
      <c r="C126" s="660" t="s">
        <v>1133</v>
      </c>
      <c r="D126" s="660" t="s">
        <v>3502</v>
      </c>
      <c r="E126" s="661" t="s">
        <v>1116</v>
      </c>
      <c r="F126" s="662" t="s">
        <v>3886</v>
      </c>
      <c r="G126" s="662" t="s">
        <v>3736</v>
      </c>
      <c r="H126" s="663">
        <v>59.096799999999995</v>
      </c>
    </row>
    <row r="127" spans="1:8" customFormat="1" ht="15" x14ac:dyDescent="0.25">
      <c r="A127" s="659" t="s">
        <v>3737</v>
      </c>
      <c r="B127" s="660" t="s">
        <v>1114</v>
      </c>
      <c r="C127" s="660" t="s">
        <v>1134</v>
      </c>
      <c r="D127" s="660" t="s">
        <v>3502</v>
      </c>
      <c r="E127" s="661" t="s">
        <v>1116</v>
      </c>
      <c r="F127" s="662" t="s">
        <v>3887</v>
      </c>
      <c r="G127" s="662" t="s">
        <v>3739</v>
      </c>
      <c r="H127" s="663">
        <v>24.0124</v>
      </c>
    </row>
    <row r="128" spans="1:8" customFormat="1" ht="15" x14ac:dyDescent="0.25">
      <c r="A128" s="659" t="s">
        <v>3888</v>
      </c>
      <c r="B128" s="660" t="s">
        <v>1114</v>
      </c>
      <c r="C128" s="660" t="s">
        <v>1162</v>
      </c>
      <c r="D128" s="660" t="s">
        <v>3502</v>
      </c>
      <c r="E128" s="661" t="s">
        <v>273</v>
      </c>
      <c r="F128" s="662" t="s">
        <v>3839</v>
      </c>
      <c r="G128" s="662" t="s">
        <v>3889</v>
      </c>
      <c r="H128" s="663">
        <v>15.894400000000001</v>
      </c>
    </row>
    <row r="129" spans="1:8" customFormat="1" ht="15.75" thickBot="1" x14ac:dyDescent="0.3">
      <c r="A129" s="673" t="s">
        <v>3890</v>
      </c>
      <c r="B129" s="674" t="s">
        <v>3702</v>
      </c>
      <c r="C129" s="674" t="s">
        <v>1163</v>
      </c>
      <c r="D129" s="674" t="s">
        <v>1175</v>
      </c>
      <c r="E129" s="675" t="s">
        <v>56</v>
      </c>
      <c r="F129" s="676" t="s">
        <v>3711</v>
      </c>
      <c r="G129" s="676" t="s">
        <v>3891</v>
      </c>
      <c r="H129" s="677">
        <v>700</v>
      </c>
    </row>
    <row r="130" spans="1:8" customFormat="1" ht="15.75" thickTop="1" x14ac:dyDescent="0.25">
      <c r="A130" s="665"/>
      <c r="B130" s="666"/>
      <c r="C130" s="666"/>
      <c r="D130" s="666"/>
      <c r="E130" s="666"/>
      <c r="F130" s="666"/>
      <c r="G130" s="666"/>
      <c r="H130" s="667"/>
    </row>
    <row r="131" spans="1:8" customFormat="1" ht="15" x14ac:dyDescent="0.25">
      <c r="A131" s="668" t="s">
        <v>3457</v>
      </c>
      <c r="B131" s="669" t="s">
        <v>3697</v>
      </c>
      <c r="C131" s="669" t="s">
        <v>3460</v>
      </c>
      <c r="D131" s="669" t="s">
        <v>3462</v>
      </c>
      <c r="E131" s="670" t="s">
        <v>69</v>
      </c>
      <c r="F131" s="671" t="s">
        <v>63</v>
      </c>
      <c r="G131" s="671" t="s">
        <v>3720</v>
      </c>
      <c r="H131" s="672" t="s">
        <v>453</v>
      </c>
    </row>
    <row r="132" spans="1:8" s="658" customFormat="1" ht="33.75" x14ac:dyDescent="0.25">
      <c r="A132" s="653" t="s">
        <v>3629</v>
      </c>
      <c r="B132" s="654" t="s">
        <v>3702</v>
      </c>
      <c r="C132" s="654" t="s">
        <v>803</v>
      </c>
      <c r="D132" s="654" t="s">
        <v>3500</v>
      </c>
      <c r="E132" s="655" t="s">
        <v>56</v>
      </c>
      <c r="F132" s="656">
        <v>1</v>
      </c>
      <c r="G132" s="656" t="s">
        <v>3892</v>
      </c>
      <c r="H132" s="657" t="s">
        <v>3892</v>
      </c>
    </row>
    <row r="133" spans="1:8" customFormat="1" ht="15" x14ac:dyDescent="0.25">
      <c r="A133" s="659" t="s">
        <v>3735</v>
      </c>
      <c r="B133" s="660" t="s">
        <v>1114</v>
      </c>
      <c r="C133" s="660" t="s">
        <v>1133</v>
      </c>
      <c r="D133" s="660" t="s">
        <v>3502</v>
      </c>
      <c r="E133" s="661" t="s">
        <v>1116</v>
      </c>
      <c r="F133" s="662" t="s">
        <v>3893</v>
      </c>
      <c r="G133" s="662" t="s">
        <v>3736</v>
      </c>
      <c r="H133" s="663">
        <v>64.562399999999997</v>
      </c>
    </row>
    <row r="134" spans="1:8" customFormat="1" ht="15" x14ac:dyDescent="0.25">
      <c r="A134" s="659" t="s">
        <v>3737</v>
      </c>
      <c r="B134" s="660" t="s">
        <v>1114</v>
      </c>
      <c r="C134" s="660" t="s">
        <v>1134</v>
      </c>
      <c r="D134" s="660" t="s">
        <v>3502</v>
      </c>
      <c r="E134" s="661" t="s">
        <v>1116</v>
      </c>
      <c r="F134" s="662" t="s">
        <v>3893</v>
      </c>
      <c r="G134" s="662" t="s">
        <v>3739</v>
      </c>
      <c r="H134" s="663">
        <v>52.4664</v>
      </c>
    </row>
    <row r="135" spans="1:8" customFormat="1" ht="15" x14ac:dyDescent="0.25">
      <c r="A135" s="659" t="s">
        <v>3888</v>
      </c>
      <c r="B135" s="660" t="s">
        <v>1114</v>
      </c>
      <c r="C135" s="660" t="s">
        <v>1162</v>
      </c>
      <c r="D135" s="660" t="s">
        <v>3502</v>
      </c>
      <c r="E135" s="661" t="s">
        <v>273</v>
      </c>
      <c r="F135" s="662" t="s">
        <v>3894</v>
      </c>
      <c r="G135" s="662" t="s">
        <v>3889</v>
      </c>
      <c r="H135" s="663">
        <v>35.7624</v>
      </c>
    </row>
    <row r="136" spans="1:8" customFormat="1" ht="33.75" x14ac:dyDescent="0.25">
      <c r="A136" s="659" t="s">
        <v>3895</v>
      </c>
      <c r="B136" s="660" t="s">
        <v>1114</v>
      </c>
      <c r="C136" s="660" t="s">
        <v>3896</v>
      </c>
      <c r="D136" s="660" t="s">
        <v>3500</v>
      </c>
      <c r="E136" s="661" t="s">
        <v>106</v>
      </c>
      <c r="F136" s="662" t="s">
        <v>3897</v>
      </c>
      <c r="G136" s="662" t="s">
        <v>3898</v>
      </c>
      <c r="H136" s="663">
        <v>81.244800000000012</v>
      </c>
    </row>
    <row r="137" spans="1:8" customFormat="1" ht="15.75" thickBot="1" x14ac:dyDescent="0.3">
      <c r="A137" s="673" t="s">
        <v>3899</v>
      </c>
      <c r="B137" s="674" t="s">
        <v>3702</v>
      </c>
      <c r="C137" s="674" t="s">
        <v>1173</v>
      </c>
      <c r="D137" s="674" t="s">
        <v>1175</v>
      </c>
      <c r="E137" s="675" t="s">
        <v>56</v>
      </c>
      <c r="F137" s="676" t="s">
        <v>3711</v>
      </c>
      <c r="G137" s="676" t="s">
        <v>3900</v>
      </c>
      <c r="H137" s="677">
        <v>1350</v>
      </c>
    </row>
    <row r="138" spans="1:8" customFormat="1" ht="15.75" thickTop="1" x14ac:dyDescent="0.25">
      <c r="A138" s="665"/>
      <c r="B138" s="666"/>
      <c r="C138" s="666"/>
      <c r="D138" s="666"/>
      <c r="E138" s="666"/>
      <c r="F138" s="666"/>
      <c r="G138" s="666"/>
      <c r="H138" s="667"/>
    </row>
    <row r="139" spans="1:8" customFormat="1" ht="15" x14ac:dyDescent="0.25">
      <c r="A139" s="668" t="s">
        <v>3457</v>
      </c>
      <c r="B139" s="669" t="s">
        <v>3697</v>
      </c>
      <c r="C139" s="669" t="s">
        <v>3460</v>
      </c>
      <c r="D139" s="669" t="s">
        <v>3462</v>
      </c>
      <c r="E139" s="670" t="s">
        <v>69</v>
      </c>
      <c r="F139" s="671" t="s">
        <v>63</v>
      </c>
      <c r="G139" s="671" t="s">
        <v>3720</v>
      </c>
      <c r="H139" s="672" t="s">
        <v>453</v>
      </c>
    </row>
    <row r="140" spans="1:8" s="658" customFormat="1" ht="22.5" x14ac:dyDescent="0.25">
      <c r="A140" s="653" t="s">
        <v>3600</v>
      </c>
      <c r="B140" s="654" t="s">
        <v>3702</v>
      </c>
      <c r="C140" s="654" t="s">
        <v>1909</v>
      </c>
      <c r="D140" s="654" t="s">
        <v>3502</v>
      </c>
      <c r="E140" s="655" t="s">
        <v>56</v>
      </c>
      <c r="F140" s="656">
        <v>1</v>
      </c>
      <c r="G140" s="656" t="s">
        <v>3901</v>
      </c>
      <c r="H140" s="657" t="s">
        <v>3901</v>
      </c>
    </row>
    <row r="141" spans="1:8" customFormat="1" ht="15" x14ac:dyDescent="0.25">
      <c r="A141" s="659" t="s">
        <v>3735</v>
      </c>
      <c r="B141" s="660" t="s">
        <v>1114</v>
      </c>
      <c r="C141" s="660" t="s">
        <v>1133</v>
      </c>
      <c r="D141" s="660" t="s">
        <v>3502</v>
      </c>
      <c r="E141" s="661" t="s">
        <v>1116</v>
      </c>
      <c r="F141" s="662" t="s">
        <v>3902</v>
      </c>
      <c r="G141" s="662" t="s">
        <v>3736</v>
      </c>
      <c r="H141" s="663">
        <v>8.5399999999999991</v>
      </c>
    </row>
    <row r="142" spans="1:8" customFormat="1" ht="15" x14ac:dyDescent="0.25">
      <c r="A142" s="659" t="s">
        <v>3737</v>
      </c>
      <c r="B142" s="660" t="s">
        <v>1114</v>
      </c>
      <c r="C142" s="660" t="s">
        <v>1134</v>
      </c>
      <c r="D142" s="660" t="s">
        <v>3502</v>
      </c>
      <c r="E142" s="661" t="s">
        <v>1116</v>
      </c>
      <c r="F142" s="662" t="s">
        <v>3902</v>
      </c>
      <c r="G142" s="662" t="s">
        <v>3739</v>
      </c>
      <c r="H142" s="663">
        <v>6.94</v>
      </c>
    </row>
    <row r="143" spans="1:8" customFormat="1" ht="15.75" thickBot="1" x14ac:dyDescent="0.3">
      <c r="A143" s="673" t="s">
        <v>3903</v>
      </c>
      <c r="B143" s="674" t="s">
        <v>3702</v>
      </c>
      <c r="C143" s="674" t="s">
        <v>1910</v>
      </c>
      <c r="D143" s="674" t="s">
        <v>1175</v>
      </c>
      <c r="E143" s="675" t="s">
        <v>56</v>
      </c>
      <c r="F143" s="676" t="s">
        <v>3711</v>
      </c>
      <c r="G143" s="676" t="s">
        <v>3904</v>
      </c>
      <c r="H143" s="677">
        <v>156.9</v>
      </c>
    </row>
    <row r="144" spans="1:8" customFormat="1" ht="15.75" thickTop="1" x14ac:dyDescent="0.25">
      <c r="A144" s="665"/>
      <c r="B144" s="666"/>
      <c r="C144" s="666"/>
      <c r="D144" s="666"/>
      <c r="E144" s="666"/>
      <c r="F144" s="666"/>
      <c r="G144" s="666"/>
      <c r="H144" s="667"/>
    </row>
    <row r="145" spans="1:8" customFormat="1" ht="15" x14ac:dyDescent="0.25">
      <c r="A145" s="668" t="s">
        <v>3457</v>
      </c>
      <c r="B145" s="669" t="s">
        <v>3697</v>
      </c>
      <c r="C145" s="669" t="s">
        <v>3460</v>
      </c>
      <c r="D145" s="669" t="s">
        <v>3462</v>
      </c>
      <c r="E145" s="670" t="s">
        <v>69</v>
      </c>
      <c r="F145" s="671" t="s">
        <v>63</v>
      </c>
      <c r="G145" s="671" t="s">
        <v>3720</v>
      </c>
      <c r="H145" s="672" t="s">
        <v>453</v>
      </c>
    </row>
    <row r="146" spans="1:8" s="658" customFormat="1" ht="33.75" x14ac:dyDescent="0.25">
      <c r="A146" s="653" t="s">
        <v>3505</v>
      </c>
      <c r="B146" s="654" t="s">
        <v>3702</v>
      </c>
      <c r="C146" s="654" t="s">
        <v>790</v>
      </c>
      <c r="D146" s="654" t="s">
        <v>3500</v>
      </c>
      <c r="E146" s="655" t="s">
        <v>56</v>
      </c>
      <c r="F146" s="656">
        <v>1</v>
      </c>
      <c r="G146" s="656" t="s">
        <v>3905</v>
      </c>
      <c r="H146" s="657" t="s">
        <v>3905</v>
      </c>
    </row>
    <row r="147" spans="1:8" customFormat="1" ht="15" x14ac:dyDescent="0.25">
      <c r="A147" s="659" t="s">
        <v>3906</v>
      </c>
      <c r="B147" s="660" t="s">
        <v>1114</v>
      </c>
      <c r="C147" s="660" t="s">
        <v>1169</v>
      </c>
      <c r="D147" s="660" t="s">
        <v>3502</v>
      </c>
      <c r="E147" s="661" t="s">
        <v>1116</v>
      </c>
      <c r="F147" s="662" t="s">
        <v>3907</v>
      </c>
      <c r="G147" s="662" t="s">
        <v>3908</v>
      </c>
      <c r="H147" s="663">
        <v>9.1859999999999999</v>
      </c>
    </row>
    <row r="148" spans="1:8" customFormat="1" ht="33.75" x14ac:dyDescent="0.25">
      <c r="A148" s="673" t="s">
        <v>3909</v>
      </c>
      <c r="B148" s="674" t="s">
        <v>1114</v>
      </c>
      <c r="C148" s="674" t="s">
        <v>1170</v>
      </c>
      <c r="D148" s="674" t="s">
        <v>1175</v>
      </c>
      <c r="E148" s="675" t="s">
        <v>272</v>
      </c>
      <c r="F148" s="676" t="s">
        <v>3711</v>
      </c>
      <c r="G148" s="676" t="s">
        <v>3910</v>
      </c>
      <c r="H148" s="678">
        <v>338.11</v>
      </c>
    </row>
    <row r="149" spans="1:8" customFormat="1" ht="15" x14ac:dyDescent="0.25">
      <c r="A149" s="673" t="s">
        <v>3911</v>
      </c>
      <c r="B149" s="674" t="s">
        <v>1114</v>
      </c>
      <c r="C149" s="674" t="s">
        <v>1171</v>
      </c>
      <c r="D149" s="674" t="s">
        <v>1175</v>
      </c>
      <c r="E149" s="675" t="s">
        <v>106</v>
      </c>
      <c r="F149" s="676" t="s">
        <v>3912</v>
      </c>
      <c r="G149" s="676" t="s">
        <v>3913</v>
      </c>
      <c r="H149" s="678">
        <v>854.28000000000009</v>
      </c>
    </row>
    <row r="150" spans="1:8" customFormat="1" ht="22.5" x14ac:dyDescent="0.25">
      <c r="A150" s="673" t="s">
        <v>3914</v>
      </c>
      <c r="B150" s="674" t="s">
        <v>1114</v>
      </c>
      <c r="C150" s="674" t="s">
        <v>3915</v>
      </c>
      <c r="D150" s="674" t="s">
        <v>1175</v>
      </c>
      <c r="E150" s="675" t="s">
        <v>56</v>
      </c>
      <c r="F150" s="676" t="s">
        <v>3826</v>
      </c>
      <c r="G150" s="676" t="s">
        <v>3916</v>
      </c>
      <c r="H150" s="678">
        <v>23.7</v>
      </c>
    </row>
    <row r="151" spans="1:8" customFormat="1" ht="15.75" thickBot="1" x14ac:dyDescent="0.3">
      <c r="A151" s="673" t="s">
        <v>3917</v>
      </c>
      <c r="B151" s="674" t="s">
        <v>1114</v>
      </c>
      <c r="C151" s="674" t="s">
        <v>1172</v>
      </c>
      <c r="D151" s="674" t="s">
        <v>1175</v>
      </c>
      <c r="E151" s="675" t="s">
        <v>56</v>
      </c>
      <c r="F151" s="676" t="s">
        <v>3826</v>
      </c>
      <c r="G151" s="676" t="s">
        <v>3918</v>
      </c>
      <c r="H151" s="677">
        <v>2017.92</v>
      </c>
    </row>
    <row r="152" spans="1:8" customFormat="1" ht="15.75" thickTop="1" x14ac:dyDescent="0.25">
      <c r="A152" s="665"/>
      <c r="B152" s="666"/>
      <c r="C152" s="666"/>
      <c r="D152" s="666"/>
      <c r="E152" s="666"/>
      <c r="F152" s="666"/>
      <c r="G152" s="666"/>
      <c r="H152" s="667"/>
    </row>
    <row r="153" spans="1:8" customFormat="1" ht="15" x14ac:dyDescent="0.25">
      <c r="A153" s="668" t="s">
        <v>3457</v>
      </c>
      <c r="B153" s="669" t="s">
        <v>3697</v>
      </c>
      <c r="C153" s="669" t="s">
        <v>3460</v>
      </c>
      <c r="D153" s="669" t="s">
        <v>3462</v>
      </c>
      <c r="E153" s="670" t="s">
        <v>69</v>
      </c>
      <c r="F153" s="671" t="s">
        <v>63</v>
      </c>
      <c r="G153" s="671" t="s">
        <v>3720</v>
      </c>
      <c r="H153" s="672" t="s">
        <v>453</v>
      </c>
    </row>
    <row r="154" spans="1:8" s="658" customFormat="1" ht="33.75" x14ac:dyDescent="0.25">
      <c r="A154" s="653" t="s">
        <v>3504</v>
      </c>
      <c r="B154" s="654" t="s">
        <v>3702</v>
      </c>
      <c r="C154" s="654" t="s">
        <v>788</v>
      </c>
      <c r="D154" s="654" t="s">
        <v>3500</v>
      </c>
      <c r="E154" s="655" t="s">
        <v>56</v>
      </c>
      <c r="F154" s="656">
        <v>1</v>
      </c>
      <c r="G154" s="656" t="s">
        <v>3919</v>
      </c>
      <c r="H154" s="657" t="s">
        <v>3919</v>
      </c>
    </row>
    <row r="155" spans="1:8" customFormat="1" ht="15" x14ac:dyDescent="0.25">
      <c r="A155" s="659" t="s">
        <v>3906</v>
      </c>
      <c r="B155" s="660" t="s">
        <v>1114</v>
      </c>
      <c r="C155" s="660" t="s">
        <v>1169</v>
      </c>
      <c r="D155" s="660" t="s">
        <v>3502</v>
      </c>
      <c r="E155" s="661" t="s">
        <v>1116</v>
      </c>
      <c r="F155" s="662" t="s">
        <v>3824</v>
      </c>
      <c r="G155" s="662" t="s">
        <v>3908</v>
      </c>
      <c r="H155" s="663">
        <v>4.593</v>
      </c>
    </row>
    <row r="156" spans="1:8" customFormat="1" ht="33.75" x14ac:dyDescent="0.25">
      <c r="A156" s="673" t="s">
        <v>3909</v>
      </c>
      <c r="B156" s="674" t="s">
        <v>1114</v>
      </c>
      <c r="C156" s="674" t="s">
        <v>1170</v>
      </c>
      <c r="D156" s="674" t="s">
        <v>1175</v>
      </c>
      <c r="E156" s="675" t="s">
        <v>272</v>
      </c>
      <c r="F156" s="676" t="s">
        <v>3711</v>
      </c>
      <c r="G156" s="676" t="s">
        <v>3910</v>
      </c>
      <c r="H156" s="678">
        <v>338.11</v>
      </c>
    </row>
    <row r="157" spans="1:8" customFormat="1" ht="15" x14ac:dyDescent="0.25">
      <c r="A157" s="673" t="s">
        <v>3911</v>
      </c>
      <c r="B157" s="674" t="s">
        <v>1114</v>
      </c>
      <c r="C157" s="674" t="s">
        <v>1171</v>
      </c>
      <c r="D157" s="674" t="s">
        <v>1175</v>
      </c>
      <c r="E157" s="675" t="s">
        <v>106</v>
      </c>
      <c r="F157" s="676" t="s">
        <v>3920</v>
      </c>
      <c r="G157" s="676" t="s">
        <v>3913</v>
      </c>
      <c r="H157" s="678">
        <v>427.14000000000004</v>
      </c>
    </row>
    <row r="158" spans="1:8" customFormat="1" ht="15" x14ac:dyDescent="0.25">
      <c r="A158" s="673" t="s">
        <v>3917</v>
      </c>
      <c r="B158" s="674" t="s">
        <v>1114</v>
      </c>
      <c r="C158" s="674" t="s">
        <v>1172</v>
      </c>
      <c r="D158" s="674" t="s">
        <v>1175</v>
      </c>
      <c r="E158" s="675" t="s">
        <v>56</v>
      </c>
      <c r="F158" s="676" t="s">
        <v>3711</v>
      </c>
      <c r="G158" s="676" t="s">
        <v>3918</v>
      </c>
      <c r="H158" s="678">
        <v>1008.96</v>
      </c>
    </row>
    <row r="159" spans="1:8" customFormat="1" ht="23.25" thickBot="1" x14ac:dyDescent="0.3">
      <c r="A159" s="673" t="s">
        <v>3914</v>
      </c>
      <c r="B159" s="674" t="s">
        <v>1114</v>
      </c>
      <c r="C159" s="674" t="s">
        <v>3915</v>
      </c>
      <c r="D159" s="674" t="s">
        <v>1175</v>
      </c>
      <c r="E159" s="675" t="s">
        <v>56</v>
      </c>
      <c r="F159" s="676" t="s">
        <v>3711</v>
      </c>
      <c r="G159" s="676" t="s">
        <v>3916</v>
      </c>
      <c r="H159" s="677">
        <v>11.85</v>
      </c>
    </row>
    <row r="160" spans="1:8" customFormat="1" ht="15.75" thickTop="1" x14ac:dyDescent="0.25">
      <c r="A160" s="665"/>
      <c r="B160" s="666"/>
      <c r="C160" s="666"/>
      <c r="D160" s="666"/>
      <c r="E160" s="666"/>
      <c r="F160" s="666"/>
      <c r="G160" s="666"/>
      <c r="H160" s="667"/>
    </row>
    <row r="161" spans="1:8" customFormat="1" ht="15" x14ac:dyDescent="0.25">
      <c r="A161" s="668" t="s">
        <v>3457</v>
      </c>
      <c r="B161" s="669" t="s">
        <v>3697</v>
      </c>
      <c r="C161" s="669" t="s">
        <v>3460</v>
      </c>
      <c r="D161" s="669" t="s">
        <v>3462</v>
      </c>
      <c r="E161" s="670" t="s">
        <v>69</v>
      </c>
      <c r="F161" s="671" t="s">
        <v>63</v>
      </c>
      <c r="G161" s="671" t="s">
        <v>3720</v>
      </c>
      <c r="H161" s="672" t="s">
        <v>453</v>
      </c>
    </row>
    <row r="162" spans="1:8" s="658" customFormat="1" ht="33.75" x14ac:dyDescent="0.25">
      <c r="A162" s="653" t="s">
        <v>3628</v>
      </c>
      <c r="B162" s="654" t="s">
        <v>3702</v>
      </c>
      <c r="C162" s="654" t="s">
        <v>2687</v>
      </c>
      <c r="D162" s="654" t="s">
        <v>3500</v>
      </c>
      <c r="E162" s="655" t="s">
        <v>56</v>
      </c>
      <c r="F162" s="656">
        <v>1</v>
      </c>
      <c r="G162" s="656" t="s">
        <v>3921</v>
      </c>
      <c r="H162" s="657" t="s">
        <v>3921</v>
      </c>
    </row>
    <row r="163" spans="1:8" customFormat="1" ht="15" x14ac:dyDescent="0.25">
      <c r="A163" s="659" t="s">
        <v>3735</v>
      </c>
      <c r="B163" s="660" t="s">
        <v>1114</v>
      </c>
      <c r="C163" s="660" t="s">
        <v>1133</v>
      </c>
      <c r="D163" s="660" t="s">
        <v>3502</v>
      </c>
      <c r="E163" s="661" t="s">
        <v>1116</v>
      </c>
      <c r="F163" s="662" t="s">
        <v>3922</v>
      </c>
      <c r="G163" s="662" t="s">
        <v>3736</v>
      </c>
      <c r="H163" s="663">
        <v>57.388799999999989</v>
      </c>
    </row>
    <row r="164" spans="1:8" customFormat="1" ht="15" x14ac:dyDescent="0.25">
      <c r="A164" s="659" t="s">
        <v>3737</v>
      </c>
      <c r="B164" s="660" t="s">
        <v>1114</v>
      </c>
      <c r="C164" s="660" t="s">
        <v>1134</v>
      </c>
      <c r="D164" s="660" t="s">
        <v>3502</v>
      </c>
      <c r="E164" s="661" t="s">
        <v>1116</v>
      </c>
      <c r="F164" s="662" t="s">
        <v>3922</v>
      </c>
      <c r="G164" s="662" t="s">
        <v>3739</v>
      </c>
      <c r="H164" s="663">
        <v>46.636800000000001</v>
      </c>
    </row>
    <row r="165" spans="1:8" customFormat="1" ht="15" x14ac:dyDescent="0.25">
      <c r="A165" s="659" t="s">
        <v>3888</v>
      </c>
      <c r="B165" s="660" t="s">
        <v>1114</v>
      </c>
      <c r="C165" s="660" t="s">
        <v>1162</v>
      </c>
      <c r="D165" s="660" t="s">
        <v>3502</v>
      </c>
      <c r="E165" s="661" t="s">
        <v>273</v>
      </c>
      <c r="F165" s="662" t="s">
        <v>3923</v>
      </c>
      <c r="G165" s="662" t="s">
        <v>3889</v>
      </c>
      <c r="H165" s="663">
        <v>31.788800000000002</v>
      </c>
    </row>
    <row r="166" spans="1:8" customFormat="1" ht="15.75" thickBot="1" x14ac:dyDescent="0.3">
      <c r="A166" s="673" t="s">
        <v>3924</v>
      </c>
      <c r="B166" s="674" t="s">
        <v>3702</v>
      </c>
      <c r="C166" s="674" t="s">
        <v>1988</v>
      </c>
      <c r="D166" s="674" t="s">
        <v>1175</v>
      </c>
      <c r="E166" s="675" t="s">
        <v>56</v>
      </c>
      <c r="F166" s="676" t="s">
        <v>3711</v>
      </c>
      <c r="G166" s="676" t="s">
        <v>3925</v>
      </c>
      <c r="H166" s="677">
        <v>990</v>
      </c>
    </row>
    <row r="167" spans="1:8" customFormat="1" ht="15.75" thickTop="1" x14ac:dyDescent="0.25">
      <c r="A167" s="665"/>
      <c r="B167" s="666"/>
      <c r="C167" s="666"/>
      <c r="D167" s="666"/>
      <c r="E167" s="666"/>
      <c r="F167" s="666"/>
      <c r="G167" s="666"/>
      <c r="H167" s="667"/>
    </row>
    <row r="168" spans="1:8" customFormat="1" ht="15" x14ac:dyDescent="0.25">
      <c r="A168" s="668" t="s">
        <v>3457</v>
      </c>
      <c r="B168" s="669" t="s">
        <v>3697</v>
      </c>
      <c r="C168" s="669" t="s">
        <v>3460</v>
      </c>
      <c r="D168" s="669" t="s">
        <v>3462</v>
      </c>
      <c r="E168" s="670" t="s">
        <v>69</v>
      </c>
      <c r="F168" s="671" t="s">
        <v>63</v>
      </c>
      <c r="G168" s="671" t="s">
        <v>3720</v>
      </c>
      <c r="H168" s="672" t="s">
        <v>453</v>
      </c>
    </row>
    <row r="169" spans="1:8" s="658" customFormat="1" ht="33.75" x14ac:dyDescent="0.25">
      <c r="A169" s="653" t="s">
        <v>3593</v>
      </c>
      <c r="B169" s="654" t="s">
        <v>3702</v>
      </c>
      <c r="C169" s="654" t="s">
        <v>941</v>
      </c>
      <c r="D169" s="654" t="s">
        <v>3500</v>
      </c>
      <c r="E169" s="655" t="s">
        <v>106</v>
      </c>
      <c r="F169" s="656">
        <v>1</v>
      </c>
      <c r="G169" s="656" t="s">
        <v>3926</v>
      </c>
      <c r="H169" s="657" t="s">
        <v>3926</v>
      </c>
    </row>
    <row r="170" spans="1:8" customFormat="1" ht="15" x14ac:dyDescent="0.25">
      <c r="A170" s="659" t="s">
        <v>3735</v>
      </c>
      <c r="B170" s="660" t="s">
        <v>1114</v>
      </c>
      <c r="C170" s="660" t="s">
        <v>1133</v>
      </c>
      <c r="D170" s="660" t="s">
        <v>3502</v>
      </c>
      <c r="E170" s="661" t="s">
        <v>1116</v>
      </c>
      <c r="F170" s="662" t="s">
        <v>3927</v>
      </c>
      <c r="G170" s="662" t="s">
        <v>3736</v>
      </c>
      <c r="H170" s="663">
        <v>37.576000000000001</v>
      </c>
    </row>
    <row r="171" spans="1:8" customFormat="1" ht="15" x14ac:dyDescent="0.25">
      <c r="A171" s="659" t="s">
        <v>3737</v>
      </c>
      <c r="B171" s="660" t="s">
        <v>1114</v>
      </c>
      <c r="C171" s="660" t="s">
        <v>1134</v>
      </c>
      <c r="D171" s="660" t="s">
        <v>3502</v>
      </c>
      <c r="E171" s="661" t="s">
        <v>1116</v>
      </c>
      <c r="F171" s="662" t="s">
        <v>3927</v>
      </c>
      <c r="G171" s="662" t="s">
        <v>3739</v>
      </c>
      <c r="H171" s="663">
        <v>30.536000000000005</v>
      </c>
    </row>
    <row r="172" spans="1:8" customFormat="1" ht="15" x14ac:dyDescent="0.25">
      <c r="A172" s="659" t="s">
        <v>3831</v>
      </c>
      <c r="B172" s="660" t="s">
        <v>1114</v>
      </c>
      <c r="C172" s="660" t="s">
        <v>1145</v>
      </c>
      <c r="D172" s="660" t="s">
        <v>3502</v>
      </c>
      <c r="E172" s="661" t="s">
        <v>1116</v>
      </c>
      <c r="F172" s="662" t="s">
        <v>3928</v>
      </c>
      <c r="G172" s="662" t="s">
        <v>3832</v>
      </c>
      <c r="H172" s="663">
        <v>73.350000000000009</v>
      </c>
    </row>
    <row r="173" spans="1:8" customFormat="1" ht="15" x14ac:dyDescent="0.25">
      <c r="A173" s="659" t="s">
        <v>3833</v>
      </c>
      <c r="B173" s="660" t="s">
        <v>1114</v>
      </c>
      <c r="C173" s="660" t="s">
        <v>1146</v>
      </c>
      <c r="D173" s="660" t="s">
        <v>3502</v>
      </c>
      <c r="E173" s="661" t="s">
        <v>1116</v>
      </c>
      <c r="F173" s="662" t="s">
        <v>3928</v>
      </c>
      <c r="G173" s="662" t="s">
        <v>3834</v>
      </c>
      <c r="H173" s="663">
        <v>60.344999999999999</v>
      </c>
    </row>
    <row r="174" spans="1:8" customFormat="1" ht="15" x14ac:dyDescent="0.25">
      <c r="A174" s="673" t="s">
        <v>3929</v>
      </c>
      <c r="B174" s="674" t="s">
        <v>1114</v>
      </c>
      <c r="C174" s="674" t="s">
        <v>1601</v>
      </c>
      <c r="D174" s="674" t="s">
        <v>1175</v>
      </c>
      <c r="E174" s="675" t="s">
        <v>92</v>
      </c>
      <c r="F174" s="676" t="s">
        <v>3711</v>
      </c>
      <c r="G174" s="676" t="s">
        <v>3930</v>
      </c>
      <c r="H174" s="678">
        <v>42.55</v>
      </c>
    </row>
    <row r="175" spans="1:8" customFormat="1" ht="23.25" thickBot="1" x14ac:dyDescent="0.3">
      <c r="A175" s="673" t="s">
        <v>3931</v>
      </c>
      <c r="B175" s="674" t="s">
        <v>1114</v>
      </c>
      <c r="C175" s="674" t="s">
        <v>1602</v>
      </c>
      <c r="D175" s="674" t="s">
        <v>1175</v>
      </c>
      <c r="E175" s="675" t="s">
        <v>106</v>
      </c>
      <c r="F175" s="676" t="s">
        <v>3711</v>
      </c>
      <c r="G175" s="676" t="s">
        <v>3932</v>
      </c>
      <c r="H175" s="677">
        <v>526.52</v>
      </c>
    </row>
    <row r="176" spans="1:8" customFormat="1" ht="15.75" thickTop="1" x14ac:dyDescent="0.25">
      <c r="A176" s="665"/>
      <c r="B176" s="666"/>
      <c r="C176" s="666"/>
      <c r="D176" s="666"/>
      <c r="E176" s="666"/>
      <c r="F176" s="666"/>
      <c r="G176" s="666"/>
      <c r="H176" s="667"/>
    </row>
    <row r="177" spans="1:8" customFormat="1" ht="15" x14ac:dyDescent="0.25">
      <c r="A177" s="668" t="s">
        <v>3457</v>
      </c>
      <c r="B177" s="669" t="s">
        <v>3697</v>
      </c>
      <c r="C177" s="669" t="s">
        <v>3460</v>
      </c>
      <c r="D177" s="669" t="s">
        <v>3462</v>
      </c>
      <c r="E177" s="670" t="s">
        <v>69</v>
      </c>
      <c r="F177" s="671" t="s">
        <v>63</v>
      </c>
      <c r="G177" s="671" t="s">
        <v>3720</v>
      </c>
      <c r="H177" s="672" t="s">
        <v>453</v>
      </c>
    </row>
    <row r="178" spans="1:8" s="658" customFormat="1" ht="33.75" x14ac:dyDescent="0.25">
      <c r="A178" s="653" t="s">
        <v>3503</v>
      </c>
      <c r="B178" s="654" t="s">
        <v>3702</v>
      </c>
      <c r="C178" s="654" t="s">
        <v>2743</v>
      </c>
      <c r="D178" s="654" t="s">
        <v>3489</v>
      </c>
      <c r="E178" s="655" t="s">
        <v>106</v>
      </c>
      <c r="F178" s="656">
        <v>1</v>
      </c>
      <c r="G178" s="656" t="s">
        <v>3933</v>
      </c>
      <c r="H178" s="657" t="s">
        <v>3933</v>
      </c>
    </row>
    <row r="179" spans="1:8" customFormat="1" ht="15" x14ac:dyDescent="0.25">
      <c r="A179" s="659" t="s">
        <v>3934</v>
      </c>
      <c r="B179" s="660" t="s">
        <v>1114</v>
      </c>
      <c r="C179" s="660" t="s">
        <v>1176</v>
      </c>
      <c r="D179" s="660" t="s">
        <v>3502</v>
      </c>
      <c r="E179" s="661" t="s">
        <v>1116</v>
      </c>
      <c r="F179" s="662" t="s">
        <v>3935</v>
      </c>
      <c r="G179" s="662" t="s">
        <v>3936</v>
      </c>
      <c r="H179" s="663">
        <v>20.498100000000001</v>
      </c>
    </row>
    <row r="180" spans="1:8" customFormat="1" ht="15" x14ac:dyDescent="0.25">
      <c r="A180" s="659" t="s">
        <v>3737</v>
      </c>
      <c r="B180" s="660" t="s">
        <v>1114</v>
      </c>
      <c r="C180" s="660" t="s">
        <v>1134</v>
      </c>
      <c r="D180" s="660" t="s">
        <v>3502</v>
      </c>
      <c r="E180" s="661" t="s">
        <v>1116</v>
      </c>
      <c r="F180" s="662" t="s">
        <v>3937</v>
      </c>
      <c r="G180" s="662" t="s">
        <v>3739</v>
      </c>
      <c r="H180" s="663">
        <v>9.0220000000000002</v>
      </c>
    </row>
    <row r="181" spans="1:8" customFormat="1" ht="15" x14ac:dyDescent="0.25">
      <c r="A181" s="673" t="s">
        <v>3938</v>
      </c>
      <c r="B181" s="674" t="s">
        <v>1114</v>
      </c>
      <c r="C181" s="674" t="s">
        <v>3939</v>
      </c>
      <c r="D181" s="674" t="s">
        <v>1175</v>
      </c>
      <c r="E181" s="675" t="s">
        <v>106</v>
      </c>
      <c r="F181" s="676" t="s">
        <v>3880</v>
      </c>
      <c r="G181" s="676" t="s">
        <v>3940</v>
      </c>
      <c r="H181" s="678">
        <v>116.44079999999998</v>
      </c>
    </row>
    <row r="182" spans="1:8" customFormat="1" ht="15.75" thickBot="1" x14ac:dyDescent="0.3">
      <c r="A182" s="673" t="s">
        <v>3941</v>
      </c>
      <c r="B182" s="674" t="s">
        <v>1114</v>
      </c>
      <c r="C182" s="674" t="s">
        <v>1239</v>
      </c>
      <c r="D182" s="674" t="s">
        <v>1175</v>
      </c>
      <c r="E182" s="675" t="s">
        <v>92</v>
      </c>
      <c r="F182" s="676" t="s">
        <v>3942</v>
      </c>
      <c r="G182" s="676" t="s">
        <v>3943</v>
      </c>
      <c r="H182" s="677">
        <v>19.148100000000003</v>
      </c>
    </row>
    <row r="183" spans="1:8" customFormat="1" ht="15.75" thickTop="1" x14ac:dyDescent="0.25">
      <c r="A183" s="665"/>
      <c r="B183" s="666"/>
      <c r="C183" s="666"/>
      <c r="D183" s="666"/>
      <c r="E183" s="666"/>
      <c r="F183" s="666"/>
      <c r="G183" s="666"/>
      <c r="H183" s="667"/>
    </row>
    <row r="184" spans="1:8" customFormat="1" ht="15" x14ac:dyDescent="0.25">
      <c r="A184" s="668" t="s">
        <v>3457</v>
      </c>
      <c r="B184" s="669" t="s">
        <v>3697</v>
      </c>
      <c r="C184" s="669" t="s">
        <v>3460</v>
      </c>
      <c r="D184" s="669" t="s">
        <v>3462</v>
      </c>
      <c r="E184" s="670" t="s">
        <v>69</v>
      </c>
      <c r="F184" s="671" t="s">
        <v>63</v>
      </c>
      <c r="G184" s="671" t="s">
        <v>3720</v>
      </c>
      <c r="H184" s="672" t="s">
        <v>453</v>
      </c>
    </row>
    <row r="185" spans="1:8" s="658" customFormat="1" ht="22.5" x14ac:dyDescent="0.25">
      <c r="A185" s="653" t="s">
        <v>3573</v>
      </c>
      <c r="B185" s="654" t="s">
        <v>3702</v>
      </c>
      <c r="C185" s="654" t="s">
        <v>2675</v>
      </c>
      <c r="D185" s="654" t="s">
        <v>3575</v>
      </c>
      <c r="E185" s="655" t="s">
        <v>99</v>
      </c>
      <c r="F185" s="656">
        <v>1</v>
      </c>
      <c r="G185" s="656" t="s">
        <v>3944</v>
      </c>
      <c r="H185" s="657" t="s">
        <v>3944</v>
      </c>
    </row>
    <row r="186" spans="1:8" customFormat="1" ht="15" x14ac:dyDescent="0.25">
      <c r="A186" s="659" t="s">
        <v>3945</v>
      </c>
      <c r="B186" s="660" t="s">
        <v>1114</v>
      </c>
      <c r="C186" s="660" t="s">
        <v>1577</v>
      </c>
      <c r="D186" s="660" t="s">
        <v>3502</v>
      </c>
      <c r="E186" s="661" t="s">
        <v>1116</v>
      </c>
      <c r="F186" s="662" t="s">
        <v>3946</v>
      </c>
      <c r="G186" s="662" t="s">
        <v>3947</v>
      </c>
      <c r="H186" s="663">
        <v>6.516</v>
      </c>
    </row>
    <row r="187" spans="1:8" customFormat="1" ht="15" x14ac:dyDescent="0.25">
      <c r="A187" s="659" t="s">
        <v>3737</v>
      </c>
      <c r="B187" s="660" t="s">
        <v>1114</v>
      </c>
      <c r="C187" s="660" t="s">
        <v>1134</v>
      </c>
      <c r="D187" s="660" t="s">
        <v>3502</v>
      </c>
      <c r="E187" s="661" t="s">
        <v>1116</v>
      </c>
      <c r="F187" s="662" t="s">
        <v>3948</v>
      </c>
      <c r="G187" s="662" t="s">
        <v>3739</v>
      </c>
      <c r="H187" s="663">
        <v>2.7760000000000002</v>
      </c>
    </row>
    <row r="188" spans="1:8" customFormat="1" ht="23.25" thickBot="1" x14ac:dyDescent="0.3">
      <c r="A188" s="659" t="s">
        <v>3949</v>
      </c>
      <c r="B188" s="660" t="s">
        <v>1114</v>
      </c>
      <c r="C188" s="660" t="s">
        <v>2676</v>
      </c>
      <c r="D188" s="660" t="s">
        <v>3502</v>
      </c>
      <c r="E188" s="661" t="s">
        <v>273</v>
      </c>
      <c r="F188" s="662" t="s">
        <v>3836</v>
      </c>
      <c r="G188" s="662" t="s">
        <v>3950</v>
      </c>
      <c r="H188" s="664">
        <v>1.37571</v>
      </c>
    </row>
    <row r="189" spans="1:8" customFormat="1" ht="15.75" thickTop="1" x14ac:dyDescent="0.25">
      <c r="A189" s="665"/>
      <c r="B189" s="666"/>
      <c r="C189" s="666"/>
      <c r="D189" s="666"/>
      <c r="E189" s="666"/>
      <c r="F189" s="666"/>
      <c r="G189" s="666"/>
      <c r="H189" s="667"/>
    </row>
    <row r="190" spans="1:8" customFormat="1" ht="15" x14ac:dyDescent="0.25">
      <c r="A190" s="668" t="s">
        <v>3457</v>
      </c>
      <c r="B190" s="669" t="s">
        <v>3697</v>
      </c>
      <c r="C190" s="669" t="s">
        <v>3460</v>
      </c>
      <c r="D190" s="669" t="s">
        <v>3462</v>
      </c>
      <c r="E190" s="670" t="s">
        <v>69</v>
      </c>
      <c r="F190" s="671" t="s">
        <v>63</v>
      </c>
      <c r="G190" s="671" t="s">
        <v>3720</v>
      </c>
      <c r="H190" s="672" t="s">
        <v>453</v>
      </c>
    </row>
    <row r="191" spans="1:8" s="658" customFormat="1" ht="22.5" x14ac:dyDescent="0.25">
      <c r="A191" s="653" t="s">
        <v>3537</v>
      </c>
      <c r="B191" s="654" t="s">
        <v>3702</v>
      </c>
      <c r="C191" s="654" t="s">
        <v>2753</v>
      </c>
      <c r="D191" s="654" t="s">
        <v>3495</v>
      </c>
      <c r="E191" s="655" t="s">
        <v>106</v>
      </c>
      <c r="F191" s="656">
        <v>1</v>
      </c>
      <c r="G191" s="656" t="s">
        <v>3951</v>
      </c>
      <c r="H191" s="657" t="s">
        <v>3951</v>
      </c>
    </row>
    <row r="192" spans="1:8" customFormat="1" ht="15" x14ac:dyDescent="0.25">
      <c r="A192" s="659" t="s">
        <v>3835</v>
      </c>
      <c r="B192" s="660" t="s">
        <v>1114</v>
      </c>
      <c r="C192" s="660" t="s">
        <v>1147</v>
      </c>
      <c r="D192" s="660" t="s">
        <v>3502</v>
      </c>
      <c r="E192" s="661" t="s">
        <v>1116</v>
      </c>
      <c r="F192" s="662" t="s">
        <v>3810</v>
      </c>
      <c r="G192" s="662" t="s">
        <v>3837</v>
      </c>
      <c r="H192" s="663">
        <v>5.9569999999999999</v>
      </c>
    </row>
    <row r="193" spans="1:8" customFormat="1" ht="15" x14ac:dyDescent="0.25">
      <c r="A193" s="659" t="s">
        <v>3737</v>
      </c>
      <c r="B193" s="660" t="s">
        <v>1114</v>
      </c>
      <c r="C193" s="660" t="s">
        <v>1134</v>
      </c>
      <c r="D193" s="660" t="s">
        <v>3502</v>
      </c>
      <c r="E193" s="661" t="s">
        <v>1116</v>
      </c>
      <c r="F193" s="662" t="s">
        <v>3952</v>
      </c>
      <c r="G193" s="662" t="s">
        <v>3739</v>
      </c>
      <c r="H193" s="663">
        <v>3.47</v>
      </c>
    </row>
    <row r="194" spans="1:8" customFormat="1" ht="15" x14ac:dyDescent="0.25">
      <c r="A194" s="673" t="s">
        <v>3953</v>
      </c>
      <c r="B194" s="674" t="s">
        <v>1114</v>
      </c>
      <c r="C194" s="674" t="s">
        <v>2083</v>
      </c>
      <c r="D194" s="674" t="s">
        <v>1175</v>
      </c>
      <c r="E194" s="675" t="s">
        <v>56</v>
      </c>
      <c r="F194" s="676" t="s">
        <v>3824</v>
      </c>
      <c r="G194" s="676" t="s">
        <v>3954</v>
      </c>
      <c r="H194" s="678">
        <v>0.20699999999999999</v>
      </c>
    </row>
    <row r="195" spans="1:8" customFormat="1" ht="15.75" thickBot="1" x14ac:dyDescent="0.3">
      <c r="A195" s="673" t="s">
        <v>3955</v>
      </c>
      <c r="B195" s="674" t="s">
        <v>1114</v>
      </c>
      <c r="C195" s="674" t="s">
        <v>3956</v>
      </c>
      <c r="D195" s="674" t="s">
        <v>1175</v>
      </c>
      <c r="E195" s="675" t="s">
        <v>3957</v>
      </c>
      <c r="F195" s="676" t="s">
        <v>3958</v>
      </c>
      <c r="G195" s="676" t="s">
        <v>3959</v>
      </c>
      <c r="H195" s="677">
        <v>3.4456800000000003</v>
      </c>
    </row>
    <row r="196" spans="1:8" customFormat="1" ht="15.75" thickTop="1" x14ac:dyDescent="0.25">
      <c r="A196" s="665"/>
      <c r="B196" s="666"/>
      <c r="C196" s="666"/>
      <c r="D196" s="666"/>
      <c r="E196" s="666"/>
      <c r="F196" s="666"/>
      <c r="G196" s="666"/>
      <c r="H196" s="667"/>
    </row>
    <row r="197" spans="1:8" customFormat="1" ht="15" x14ac:dyDescent="0.25">
      <c r="A197" s="668" t="s">
        <v>3457</v>
      </c>
      <c r="B197" s="669" t="s">
        <v>3697</v>
      </c>
      <c r="C197" s="669" t="s">
        <v>3460</v>
      </c>
      <c r="D197" s="669" t="s">
        <v>3462</v>
      </c>
      <c r="E197" s="670" t="s">
        <v>69</v>
      </c>
      <c r="F197" s="671" t="s">
        <v>63</v>
      </c>
      <c r="G197" s="671" t="s">
        <v>3720</v>
      </c>
      <c r="H197" s="672" t="s">
        <v>453</v>
      </c>
    </row>
    <row r="198" spans="1:8" s="658" customFormat="1" ht="22.5" x14ac:dyDescent="0.25">
      <c r="A198" s="653" t="s">
        <v>3494</v>
      </c>
      <c r="B198" s="654" t="s">
        <v>3702</v>
      </c>
      <c r="C198" s="654" t="s">
        <v>2103</v>
      </c>
      <c r="D198" s="654" t="s">
        <v>3495</v>
      </c>
      <c r="E198" s="655" t="s">
        <v>106</v>
      </c>
      <c r="F198" s="656">
        <v>1</v>
      </c>
      <c r="G198" s="656" t="s">
        <v>3960</v>
      </c>
      <c r="H198" s="657" t="s">
        <v>3960</v>
      </c>
    </row>
    <row r="199" spans="1:8" customFormat="1" ht="15" x14ac:dyDescent="0.25">
      <c r="A199" s="659" t="s">
        <v>3835</v>
      </c>
      <c r="B199" s="660" t="s">
        <v>1114</v>
      </c>
      <c r="C199" s="660" t="s">
        <v>1147</v>
      </c>
      <c r="D199" s="660" t="s">
        <v>3502</v>
      </c>
      <c r="E199" s="661" t="s">
        <v>1116</v>
      </c>
      <c r="F199" s="662" t="s">
        <v>3948</v>
      </c>
      <c r="G199" s="662" t="s">
        <v>3837</v>
      </c>
      <c r="H199" s="663">
        <v>3.4039999999999999</v>
      </c>
    </row>
    <row r="200" spans="1:8" customFormat="1" ht="15" x14ac:dyDescent="0.25">
      <c r="A200" s="659" t="s">
        <v>3961</v>
      </c>
      <c r="B200" s="660" t="s">
        <v>1114</v>
      </c>
      <c r="C200" s="660" t="s">
        <v>1223</v>
      </c>
      <c r="D200" s="660" t="s">
        <v>3502</v>
      </c>
      <c r="E200" s="661" t="s">
        <v>1116</v>
      </c>
      <c r="F200" s="662" t="s">
        <v>3962</v>
      </c>
      <c r="G200" s="662" t="s">
        <v>3963</v>
      </c>
      <c r="H200" s="663">
        <v>2.6297999999999999</v>
      </c>
    </row>
    <row r="201" spans="1:8" customFormat="1" ht="15" x14ac:dyDescent="0.25">
      <c r="A201" s="673" t="s">
        <v>3953</v>
      </c>
      <c r="B201" s="674" t="s">
        <v>1114</v>
      </c>
      <c r="C201" s="674" t="s">
        <v>2083</v>
      </c>
      <c r="D201" s="674" t="s">
        <v>1175</v>
      </c>
      <c r="E201" s="675" t="s">
        <v>56</v>
      </c>
      <c r="F201" s="676" t="s">
        <v>3711</v>
      </c>
      <c r="G201" s="676" t="s">
        <v>3954</v>
      </c>
      <c r="H201" s="678">
        <v>0.69</v>
      </c>
    </row>
    <row r="202" spans="1:8" customFormat="1" ht="15.75" thickBot="1" x14ac:dyDescent="0.3">
      <c r="A202" s="673" t="s">
        <v>3964</v>
      </c>
      <c r="B202" s="674" t="s">
        <v>1114</v>
      </c>
      <c r="C202" s="674" t="s">
        <v>2105</v>
      </c>
      <c r="D202" s="674" t="s">
        <v>1175</v>
      </c>
      <c r="E202" s="675" t="s">
        <v>1151</v>
      </c>
      <c r="F202" s="676" t="s">
        <v>3965</v>
      </c>
      <c r="G202" s="676" t="s">
        <v>3966</v>
      </c>
      <c r="H202" s="677">
        <v>5.7456000000000005</v>
      </c>
    </row>
    <row r="203" spans="1:8" customFormat="1" ht="15.75" thickTop="1" x14ac:dyDescent="0.25">
      <c r="A203" s="665"/>
      <c r="B203" s="666"/>
      <c r="C203" s="666"/>
      <c r="D203" s="666"/>
      <c r="E203" s="666"/>
      <c r="F203" s="666"/>
      <c r="G203" s="666"/>
      <c r="H203" s="667"/>
    </row>
    <row r="204" spans="1:8" customFormat="1" ht="15" x14ac:dyDescent="0.25">
      <c r="A204" s="668" t="s">
        <v>3457</v>
      </c>
      <c r="B204" s="669" t="s">
        <v>3697</v>
      </c>
      <c r="C204" s="669" t="s">
        <v>3460</v>
      </c>
      <c r="D204" s="669" t="s">
        <v>3462</v>
      </c>
      <c r="E204" s="670" t="s">
        <v>69</v>
      </c>
      <c r="F204" s="671" t="s">
        <v>63</v>
      </c>
      <c r="G204" s="671" t="s">
        <v>3720</v>
      </c>
      <c r="H204" s="672" t="s">
        <v>453</v>
      </c>
    </row>
    <row r="205" spans="1:8" s="658" customFormat="1" ht="33.75" x14ac:dyDescent="0.25">
      <c r="A205" s="653" t="s">
        <v>3488</v>
      </c>
      <c r="B205" s="654" t="s">
        <v>3702</v>
      </c>
      <c r="C205" s="654" t="s">
        <v>2755</v>
      </c>
      <c r="D205" s="654" t="s">
        <v>3489</v>
      </c>
      <c r="E205" s="655" t="s">
        <v>106</v>
      </c>
      <c r="F205" s="656">
        <v>1</v>
      </c>
      <c r="G205" s="656" t="s">
        <v>3967</v>
      </c>
      <c r="H205" s="657" t="s">
        <v>3967</v>
      </c>
    </row>
    <row r="206" spans="1:8" customFormat="1" ht="15" x14ac:dyDescent="0.25">
      <c r="A206" s="659" t="s">
        <v>3737</v>
      </c>
      <c r="B206" s="660" t="s">
        <v>1114</v>
      </c>
      <c r="C206" s="660" t="s">
        <v>1134</v>
      </c>
      <c r="D206" s="660" t="s">
        <v>3502</v>
      </c>
      <c r="E206" s="661" t="s">
        <v>1116</v>
      </c>
      <c r="F206" s="662" t="s">
        <v>3968</v>
      </c>
      <c r="G206" s="662" t="s">
        <v>3739</v>
      </c>
      <c r="H206" s="663">
        <v>10.41</v>
      </c>
    </row>
    <row r="207" spans="1:8" customFormat="1" ht="15" x14ac:dyDescent="0.25">
      <c r="A207" s="659" t="s">
        <v>3740</v>
      </c>
      <c r="B207" s="660" t="s">
        <v>1114</v>
      </c>
      <c r="C207" s="660" t="s">
        <v>1132</v>
      </c>
      <c r="D207" s="660" t="s">
        <v>3502</v>
      </c>
      <c r="E207" s="661" t="s">
        <v>1116</v>
      </c>
      <c r="F207" s="662" t="s">
        <v>3968</v>
      </c>
      <c r="G207" s="662" t="s">
        <v>3741</v>
      </c>
      <c r="H207" s="663">
        <v>12.734999999999999</v>
      </c>
    </row>
    <row r="208" spans="1:8" customFormat="1" ht="15" x14ac:dyDescent="0.25">
      <c r="A208" s="673" t="s">
        <v>3969</v>
      </c>
      <c r="B208" s="674" t="s">
        <v>1114</v>
      </c>
      <c r="C208" s="674" t="s">
        <v>1191</v>
      </c>
      <c r="D208" s="674" t="s">
        <v>1175</v>
      </c>
      <c r="E208" s="675" t="s">
        <v>3970</v>
      </c>
      <c r="F208" s="676" t="s">
        <v>3971</v>
      </c>
      <c r="G208" s="676" t="s">
        <v>3972</v>
      </c>
      <c r="H208" s="678">
        <v>0.2303</v>
      </c>
    </row>
    <row r="209" spans="1:8" customFormat="1" ht="15" x14ac:dyDescent="0.25">
      <c r="A209" s="673" t="s">
        <v>3973</v>
      </c>
      <c r="B209" s="674" t="s">
        <v>1114</v>
      </c>
      <c r="C209" s="674" t="s">
        <v>1192</v>
      </c>
      <c r="D209" s="674" t="s">
        <v>1175</v>
      </c>
      <c r="E209" s="675" t="s">
        <v>92</v>
      </c>
      <c r="F209" s="676" t="s">
        <v>3946</v>
      </c>
      <c r="G209" s="676" t="s">
        <v>3974</v>
      </c>
      <c r="H209" s="678">
        <v>5.7640000000000002</v>
      </c>
    </row>
    <row r="210" spans="1:8" customFormat="1" ht="15" x14ac:dyDescent="0.25">
      <c r="A210" s="673" t="s">
        <v>3975</v>
      </c>
      <c r="B210" s="674" t="s">
        <v>1114</v>
      </c>
      <c r="C210" s="674" t="s">
        <v>1193</v>
      </c>
      <c r="D210" s="674" t="s">
        <v>1175</v>
      </c>
      <c r="E210" s="675" t="s">
        <v>92</v>
      </c>
      <c r="F210" s="676" t="s">
        <v>3853</v>
      </c>
      <c r="G210" s="676" t="s">
        <v>3976</v>
      </c>
      <c r="H210" s="678">
        <v>0.19838</v>
      </c>
    </row>
    <row r="211" spans="1:8" customFormat="1" ht="15" x14ac:dyDescent="0.25">
      <c r="A211" s="673" t="s">
        <v>3977</v>
      </c>
      <c r="B211" s="674" t="s">
        <v>1114</v>
      </c>
      <c r="C211" s="674" t="s">
        <v>1194</v>
      </c>
      <c r="D211" s="674" t="s">
        <v>1175</v>
      </c>
      <c r="E211" s="675" t="s">
        <v>92</v>
      </c>
      <c r="F211" s="676" t="s">
        <v>3958</v>
      </c>
      <c r="G211" s="676" t="s">
        <v>3978</v>
      </c>
      <c r="H211" s="678">
        <v>0.22092000000000001</v>
      </c>
    </row>
    <row r="212" spans="1:8" customFormat="1" ht="22.5" x14ac:dyDescent="0.25">
      <c r="A212" s="673" t="s">
        <v>3979</v>
      </c>
      <c r="B212" s="674" t="s">
        <v>1114</v>
      </c>
      <c r="C212" s="674" t="s">
        <v>1195</v>
      </c>
      <c r="D212" s="674" t="s">
        <v>1175</v>
      </c>
      <c r="E212" s="675" t="s">
        <v>99</v>
      </c>
      <c r="F212" s="676" t="s">
        <v>3980</v>
      </c>
      <c r="G212" s="676" t="s">
        <v>3981</v>
      </c>
      <c r="H212" s="678">
        <v>3.9780000000000002</v>
      </c>
    </row>
    <row r="213" spans="1:8" customFormat="1" ht="22.5" x14ac:dyDescent="0.25">
      <c r="A213" s="673" t="s">
        <v>3982</v>
      </c>
      <c r="B213" s="674" t="s">
        <v>1114</v>
      </c>
      <c r="C213" s="674" t="s">
        <v>1196</v>
      </c>
      <c r="D213" s="674" t="s">
        <v>1175</v>
      </c>
      <c r="E213" s="675" t="s">
        <v>99</v>
      </c>
      <c r="F213" s="676" t="s">
        <v>3983</v>
      </c>
      <c r="G213" s="676" t="s">
        <v>3984</v>
      </c>
      <c r="H213" s="678">
        <v>2.2589999999999999</v>
      </c>
    </row>
    <row r="214" spans="1:8" customFormat="1" ht="22.5" x14ac:dyDescent="0.25">
      <c r="A214" s="673" t="s">
        <v>3985</v>
      </c>
      <c r="B214" s="674" t="s">
        <v>1114</v>
      </c>
      <c r="C214" s="674" t="s">
        <v>3986</v>
      </c>
      <c r="D214" s="674" t="s">
        <v>1175</v>
      </c>
      <c r="E214" s="675" t="s">
        <v>99</v>
      </c>
      <c r="F214" s="676" t="s">
        <v>3946</v>
      </c>
      <c r="G214" s="676" t="s">
        <v>3987</v>
      </c>
      <c r="H214" s="678">
        <v>0.90800000000000003</v>
      </c>
    </row>
    <row r="215" spans="1:8" customFormat="1" ht="23.25" thickBot="1" x14ac:dyDescent="0.3">
      <c r="A215" s="673" t="s">
        <v>3988</v>
      </c>
      <c r="B215" s="674" t="s">
        <v>1114</v>
      </c>
      <c r="C215" s="674" t="s">
        <v>1197</v>
      </c>
      <c r="D215" s="674" t="s">
        <v>1175</v>
      </c>
      <c r="E215" s="675" t="s">
        <v>106</v>
      </c>
      <c r="F215" s="676" t="s">
        <v>3711</v>
      </c>
      <c r="G215" s="676" t="s">
        <v>3769</v>
      </c>
      <c r="H215" s="677">
        <v>13.9</v>
      </c>
    </row>
    <row r="216" spans="1:8" customFormat="1" ht="15.75" thickTop="1" x14ac:dyDescent="0.25">
      <c r="A216" s="665"/>
      <c r="B216" s="666"/>
      <c r="C216" s="666"/>
      <c r="D216" s="666"/>
      <c r="E216" s="666"/>
      <c r="F216" s="666"/>
      <c r="G216" s="666"/>
      <c r="H216" s="667"/>
    </row>
    <row r="217" spans="1:8" customFormat="1" ht="15" x14ac:dyDescent="0.25">
      <c r="A217" s="668" t="s">
        <v>3457</v>
      </c>
      <c r="B217" s="669" t="s">
        <v>3697</v>
      </c>
      <c r="C217" s="669" t="s">
        <v>3460</v>
      </c>
      <c r="D217" s="669" t="s">
        <v>3462</v>
      </c>
      <c r="E217" s="670" t="s">
        <v>69</v>
      </c>
      <c r="F217" s="671" t="s">
        <v>63</v>
      </c>
      <c r="G217" s="671" t="s">
        <v>3720</v>
      </c>
      <c r="H217" s="672" t="s">
        <v>453</v>
      </c>
    </row>
    <row r="218" spans="1:8" s="658" customFormat="1" ht="22.5" x14ac:dyDescent="0.25">
      <c r="A218" s="653" t="s">
        <v>3571</v>
      </c>
      <c r="B218" s="654" t="s">
        <v>3702</v>
      </c>
      <c r="C218" s="654" t="s">
        <v>1575</v>
      </c>
      <c r="D218" s="654" t="s">
        <v>3572</v>
      </c>
      <c r="E218" s="655" t="s">
        <v>106</v>
      </c>
      <c r="F218" s="656">
        <v>1</v>
      </c>
      <c r="G218" s="656" t="s">
        <v>3989</v>
      </c>
      <c r="H218" s="657" t="s">
        <v>3989</v>
      </c>
    </row>
    <row r="219" spans="1:8" customFormat="1" ht="15" x14ac:dyDescent="0.25">
      <c r="A219" s="659" t="s">
        <v>3945</v>
      </c>
      <c r="B219" s="660" t="s">
        <v>1114</v>
      </c>
      <c r="C219" s="660" t="s">
        <v>1577</v>
      </c>
      <c r="D219" s="660" t="s">
        <v>3502</v>
      </c>
      <c r="E219" s="661" t="s">
        <v>1116</v>
      </c>
      <c r="F219" s="662" t="s">
        <v>3990</v>
      </c>
      <c r="G219" s="662" t="s">
        <v>3947</v>
      </c>
      <c r="H219" s="663">
        <v>78.191999999999993</v>
      </c>
    </row>
    <row r="220" spans="1:8" customFormat="1" ht="15" x14ac:dyDescent="0.25">
      <c r="A220" s="659" t="s">
        <v>3737</v>
      </c>
      <c r="B220" s="660" t="s">
        <v>1114</v>
      </c>
      <c r="C220" s="660" t="s">
        <v>1134</v>
      </c>
      <c r="D220" s="660" t="s">
        <v>3502</v>
      </c>
      <c r="E220" s="661" t="s">
        <v>1116</v>
      </c>
      <c r="F220" s="662" t="s">
        <v>3991</v>
      </c>
      <c r="G220" s="662" t="s">
        <v>3739</v>
      </c>
      <c r="H220" s="663">
        <v>31.923999999999999</v>
      </c>
    </row>
    <row r="221" spans="1:8" customFormat="1" ht="15" x14ac:dyDescent="0.25">
      <c r="A221" s="659" t="s">
        <v>3992</v>
      </c>
      <c r="B221" s="660" t="s">
        <v>1114</v>
      </c>
      <c r="C221" s="660" t="s">
        <v>1578</v>
      </c>
      <c r="D221" s="660" t="s">
        <v>3502</v>
      </c>
      <c r="E221" s="661" t="s">
        <v>273</v>
      </c>
      <c r="F221" s="662" t="s">
        <v>3993</v>
      </c>
      <c r="G221" s="662" t="s">
        <v>3994</v>
      </c>
      <c r="H221" s="663">
        <v>1.1984939999999999</v>
      </c>
    </row>
    <row r="222" spans="1:8" customFormat="1" ht="15" x14ac:dyDescent="0.25">
      <c r="A222" s="673" t="s">
        <v>3995</v>
      </c>
      <c r="B222" s="674" t="s">
        <v>1114</v>
      </c>
      <c r="C222" s="674" t="s">
        <v>1579</v>
      </c>
      <c r="D222" s="674" t="s">
        <v>1175</v>
      </c>
      <c r="E222" s="675" t="s">
        <v>92</v>
      </c>
      <c r="F222" s="676" t="s">
        <v>3996</v>
      </c>
      <c r="G222" s="676" t="s">
        <v>3997</v>
      </c>
      <c r="H222" s="678">
        <v>1.9599999999999997</v>
      </c>
    </row>
    <row r="223" spans="1:8" customFormat="1" ht="15.75" thickBot="1" x14ac:dyDescent="0.3">
      <c r="A223" s="673" t="s">
        <v>3998</v>
      </c>
      <c r="B223" s="674" t="s">
        <v>3702</v>
      </c>
      <c r="C223" s="674" t="s">
        <v>1580</v>
      </c>
      <c r="D223" s="674" t="s">
        <v>1175</v>
      </c>
      <c r="E223" s="675" t="s">
        <v>106</v>
      </c>
      <c r="F223" s="676" t="s">
        <v>3711</v>
      </c>
      <c r="G223" s="676" t="s">
        <v>3999</v>
      </c>
      <c r="H223" s="677">
        <v>455</v>
      </c>
    </row>
    <row r="224" spans="1:8" customFormat="1" ht="15.75" thickTop="1" x14ac:dyDescent="0.25">
      <c r="A224" s="665"/>
      <c r="B224" s="666"/>
      <c r="C224" s="666"/>
      <c r="D224" s="666"/>
      <c r="E224" s="666"/>
      <c r="F224" s="666"/>
      <c r="G224" s="666"/>
      <c r="H224" s="667"/>
    </row>
    <row r="225" spans="1:8" customFormat="1" ht="15" x14ac:dyDescent="0.25">
      <c r="A225" s="668" t="s">
        <v>3457</v>
      </c>
      <c r="B225" s="669" t="s">
        <v>3697</v>
      </c>
      <c r="C225" s="669" t="s">
        <v>3460</v>
      </c>
      <c r="D225" s="669" t="s">
        <v>3462</v>
      </c>
      <c r="E225" s="670" t="s">
        <v>69</v>
      </c>
      <c r="F225" s="671" t="s">
        <v>63</v>
      </c>
      <c r="G225" s="671" t="s">
        <v>3720</v>
      </c>
      <c r="H225" s="672" t="s">
        <v>453</v>
      </c>
    </row>
    <row r="226" spans="1:8" s="658" customFormat="1" ht="22.5" x14ac:dyDescent="0.25">
      <c r="A226" s="653" t="s">
        <v>3579</v>
      </c>
      <c r="B226" s="654" t="s">
        <v>3702</v>
      </c>
      <c r="C226" s="654" t="s">
        <v>792</v>
      </c>
      <c r="D226" s="654" t="s">
        <v>3502</v>
      </c>
      <c r="E226" s="655" t="s">
        <v>56</v>
      </c>
      <c r="F226" s="656">
        <v>1</v>
      </c>
      <c r="G226" s="656" t="s">
        <v>4000</v>
      </c>
      <c r="H226" s="657" t="s">
        <v>4000</v>
      </c>
    </row>
    <row r="227" spans="1:8" customFormat="1" ht="23.25" thickBot="1" x14ac:dyDescent="0.3">
      <c r="A227" s="673" t="s">
        <v>4001</v>
      </c>
      <c r="B227" s="674" t="s">
        <v>3702</v>
      </c>
      <c r="C227" s="674" t="s">
        <v>1198</v>
      </c>
      <c r="D227" s="674" t="s">
        <v>1175</v>
      </c>
      <c r="E227" s="675" t="s">
        <v>56</v>
      </c>
      <c r="F227" s="676" t="s">
        <v>3711</v>
      </c>
      <c r="G227" s="676" t="s">
        <v>4000</v>
      </c>
      <c r="H227" s="677">
        <v>140</v>
      </c>
    </row>
    <row r="228" spans="1:8" customFormat="1" ht="15.75" thickTop="1" x14ac:dyDescent="0.25">
      <c r="A228" s="665"/>
      <c r="B228" s="666"/>
      <c r="C228" s="666"/>
      <c r="D228" s="666"/>
      <c r="E228" s="666"/>
      <c r="F228" s="666"/>
      <c r="G228" s="666"/>
      <c r="H228" s="667"/>
    </row>
    <row r="229" spans="1:8" customFormat="1" ht="15" x14ac:dyDescent="0.25">
      <c r="A229" s="668" t="s">
        <v>3457</v>
      </c>
      <c r="B229" s="669" t="s">
        <v>3697</v>
      </c>
      <c r="C229" s="669" t="s">
        <v>3460</v>
      </c>
      <c r="D229" s="669" t="s">
        <v>3462</v>
      </c>
      <c r="E229" s="670" t="s">
        <v>69</v>
      </c>
      <c r="F229" s="671" t="s">
        <v>63</v>
      </c>
      <c r="G229" s="671" t="s">
        <v>3720</v>
      </c>
      <c r="H229" s="672" t="s">
        <v>453</v>
      </c>
    </row>
    <row r="230" spans="1:8" s="658" customFormat="1" ht="22.5" x14ac:dyDescent="0.25">
      <c r="A230" s="653" t="s">
        <v>3602</v>
      </c>
      <c r="B230" s="654" t="s">
        <v>3702</v>
      </c>
      <c r="C230" s="654" t="s">
        <v>2600</v>
      </c>
      <c r="D230" s="654" t="s">
        <v>3502</v>
      </c>
      <c r="E230" s="655" t="s">
        <v>56</v>
      </c>
      <c r="F230" s="656">
        <v>1</v>
      </c>
      <c r="G230" s="656" t="s">
        <v>4002</v>
      </c>
      <c r="H230" s="657" t="s">
        <v>4002</v>
      </c>
    </row>
    <row r="231" spans="1:8" customFormat="1" ht="15.75" thickBot="1" x14ac:dyDescent="0.3">
      <c r="A231" s="673" t="s">
        <v>4003</v>
      </c>
      <c r="B231" s="674" t="s">
        <v>3702</v>
      </c>
      <c r="C231" s="674" t="s">
        <v>2600</v>
      </c>
      <c r="D231" s="674" t="s">
        <v>1175</v>
      </c>
      <c r="E231" s="675" t="s">
        <v>56</v>
      </c>
      <c r="F231" s="676" t="s">
        <v>3711</v>
      </c>
      <c r="G231" s="676" t="s">
        <v>4002</v>
      </c>
      <c r="H231" s="677">
        <v>3545</v>
      </c>
    </row>
    <row r="232" spans="1:8" customFormat="1" ht="15.75" thickTop="1" x14ac:dyDescent="0.25">
      <c r="A232" s="665"/>
      <c r="B232" s="666"/>
      <c r="C232" s="666"/>
      <c r="D232" s="666"/>
      <c r="E232" s="666"/>
      <c r="F232" s="666"/>
      <c r="G232" s="666"/>
      <c r="H232" s="667"/>
    </row>
    <row r="233" spans="1:8" customFormat="1" ht="15" x14ac:dyDescent="0.25">
      <c r="A233" s="668" t="s">
        <v>3457</v>
      </c>
      <c r="B233" s="669" t="s">
        <v>3697</v>
      </c>
      <c r="C233" s="669" t="s">
        <v>3460</v>
      </c>
      <c r="D233" s="669" t="s">
        <v>3462</v>
      </c>
      <c r="E233" s="670" t="s">
        <v>69</v>
      </c>
      <c r="F233" s="671" t="s">
        <v>63</v>
      </c>
      <c r="G233" s="671" t="s">
        <v>3720</v>
      </c>
      <c r="H233" s="672" t="s">
        <v>453</v>
      </c>
    </row>
    <row r="234" spans="1:8" s="658" customFormat="1" ht="22.5" x14ac:dyDescent="0.25">
      <c r="A234" s="653" t="s">
        <v>3584</v>
      </c>
      <c r="B234" s="654" t="s">
        <v>3702</v>
      </c>
      <c r="C234" s="654" t="s">
        <v>2756</v>
      </c>
      <c r="D234" s="654" t="s">
        <v>3502</v>
      </c>
      <c r="E234" s="655" t="s">
        <v>106</v>
      </c>
      <c r="F234" s="656">
        <v>1</v>
      </c>
      <c r="G234" s="656" t="s">
        <v>4004</v>
      </c>
      <c r="H234" s="657" t="s">
        <v>4004</v>
      </c>
    </row>
    <row r="235" spans="1:8" customFormat="1" ht="15" x14ac:dyDescent="0.25">
      <c r="A235" s="659" t="s">
        <v>3934</v>
      </c>
      <c r="B235" s="660" t="s">
        <v>1114</v>
      </c>
      <c r="C235" s="660" t="s">
        <v>1176</v>
      </c>
      <c r="D235" s="660" t="s">
        <v>3502</v>
      </c>
      <c r="E235" s="661" t="s">
        <v>1116</v>
      </c>
      <c r="F235" s="662" t="s">
        <v>4005</v>
      </c>
      <c r="G235" s="662" t="s">
        <v>3936</v>
      </c>
      <c r="H235" s="663">
        <v>25.424000000000003</v>
      </c>
    </row>
    <row r="236" spans="1:8" customFormat="1" ht="15" x14ac:dyDescent="0.25">
      <c r="A236" s="659" t="s">
        <v>3737</v>
      </c>
      <c r="B236" s="660" t="s">
        <v>1114</v>
      </c>
      <c r="C236" s="660" t="s">
        <v>1134</v>
      </c>
      <c r="D236" s="660" t="s">
        <v>3502</v>
      </c>
      <c r="E236" s="661" t="s">
        <v>1116</v>
      </c>
      <c r="F236" s="662" t="s">
        <v>4006</v>
      </c>
      <c r="G236" s="662" t="s">
        <v>3739</v>
      </c>
      <c r="H236" s="663">
        <v>17.350000000000001</v>
      </c>
    </row>
    <row r="237" spans="1:8" customFormat="1" ht="15" x14ac:dyDescent="0.25">
      <c r="A237" s="673" t="s">
        <v>4007</v>
      </c>
      <c r="B237" s="674" t="s">
        <v>1114</v>
      </c>
      <c r="C237" s="674" t="s">
        <v>1205</v>
      </c>
      <c r="D237" s="674" t="s">
        <v>1175</v>
      </c>
      <c r="E237" s="675" t="s">
        <v>92</v>
      </c>
      <c r="F237" s="676" t="s">
        <v>4008</v>
      </c>
      <c r="G237" s="676" t="s">
        <v>4009</v>
      </c>
      <c r="H237" s="678">
        <v>1.365</v>
      </c>
    </row>
    <row r="238" spans="1:8" customFormat="1" ht="15" x14ac:dyDescent="0.25">
      <c r="A238" s="673" t="s">
        <v>3749</v>
      </c>
      <c r="B238" s="674" t="s">
        <v>1114</v>
      </c>
      <c r="C238" s="674" t="s">
        <v>1206</v>
      </c>
      <c r="D238" s="674" t="s">
        <v>1175</v>
      </c>
      <c r="E238" s="675" t="s">
        <v>273</v>
      </c>
      <c r="F238" s="676" t="s">
        <v>4010</v>
      </c>
      <c r="G238" s="676" t="s">
        <v>3751</v>
      </c>
      <c r="H238" s="678">
        <v>1.14205</v>
      </c>
    </row>
    <row r="239" spans="1:8" customFormat="1" ht="15" x14ac:dyDescent="0.25">
      <c r="A239" s="673" t="s">
        <v>4011</v>
      </c>
      <c r="B239" s="674" t="s">
        <v>1114</v>
      </c>
      <c r="C239" s="674" t="s">
        <v>1207</v>
      </c>
      <c r="D239" s="674" t="s">
        <v>1175</v>
      </c>
      <c r="E239" s="675" t="s">
        <v>92</v>
      </c>
      <c r="F239" s="676" t="s">
        <v>4012</v>
      </c>
      <c r="G239" s="676" t="s">
        <v>4013</v>
      </c>
      <c r="H239" s="678">
        <v>1.3159999999999998</v>
      </c>
    </row>
    <row r="240" spans="1:8" customFormat="1" ht="15.75" thickBot="1" x14ac:dyDescent="0.3">
      <c r="A240" s="673" t="s">
        <v>4014</v>
      </c>
      <c r="B240" s="674" t="s">
        <v>3702</v>
      </c>
      <c r="C240" s="674" t="s">
        <v>3416</v>
      </c>
      <c r="D240" s="674" t="s">
        <v>1175</v>
      </c>
      <c r="E240" s="675" t="s">
        <v>56</v>
      </c>
      <c r="F240" s="676" t="s">
        <v>4015</v>
      </c>
      <c r="G240" s="676" t="s">
        <v>4016</v>
      </c>
      <c r="H240" s="677">
        <v>124.96000000000001</v>
      </c>
    </row>
    <row r="241" spans="1:8" customFormat="1" ht="15.75" thickTop="1" x14ac:dyDescent="0.25">
      <c r="A241" s="665"/>
      <c r="B241" s="666"/>
      <c r="C241" s="666"/>
      <c r="D241" s="666"/>
      <c r="E241" s="666"/>
      <c r="F241" s="666"/>
      <c r="G241" s="666"/>
      <c r="H241" s="667"/>
    </row>
    <row r="242" spans="1:8" customFormat="1" ht="15" x14ac:dyDescent="0.25">
      <c r="A242" s="668" t="s">
        <v>3457</v>
      </c>
      <c r="B242" s="669" t="s">
        <v>3697</v>
      </c>
      <c r="C242" s="669" t="s">
        <v>3460</v>
      </c>
      <c r="D242" s="669" t="s">
        <v>3462</v>
      </c>
      <c r="E242" s="670" t="s">
        <v>69</v>
      </c>
      <c r="F242" s="671" t="s">
        <v>63</v>
      </c>
      <c r="G242" s="671" t="s">
        <v>3720</v>
      </c>
      <c r="H242" s="672" t="s">
        <v>453</v>
      </c>
    </row>
    <row r="243" spans="1:8" s="658" customFormat="1" ht="22.5" x14ac:dyDescent="0.25">
      <c r="A243" s="653" t="s">
        <v>3580</v>
      </c>
      <c r="B243" s="654" t="s">
        <v>3702</v>
      </c>
      <c r="C243" s="654" t="s">
        <v>794</v>
      </c>
      <c r="D243" s="654" t="s">
        <v>3502</v>
      </c>
      <c r="E243" s="655" t="s">
        <v>106</v>
      </c>
      <c r="F243" s="656">
        <v>1</v>
      </c>
      <c r="G243" s="656" t="s">
        <v>4017</v>
      </c>
      <c r="H243" s="657" t="s">
        <v>4017</v>
      </c>
    </row>
    <row r="244" spans="1:8" customFormat="1" ht="15" x14ac:dyDescent="0.25">
      <c r="A244" s="659" t="s">
        <v>3737</v>
      </c>
      <c r="B244" s="660" t="s">
        <v>1114</v>
      </c>
      <c r="C244" s="660" t="s">
        <v>1134</v>
      </c>
      <c r="D244" s="660" t="s">
        <v>3502</v>
      </c>
      <c r="E244" s="661" t="s">
        <v>1116</v>
      </c>
      <c r="F244" s="662" t="s">
        <v>3828</v>
      </c>
      <c r="G244" s="662" t="s">
        <v>3739</v>
      </c>
      <c r="H244" s="663">
        <v>16.655999999999999</v>
      </c>
    </row>
    <row r="245" spans="1:8" customFormat="1" ht="15" x14ac:dyDescent="0.25">
      <c r="A245" s="659" t="s">
        <v>3735</v>
      </c>
      <c r="B245" s="660" t="s">
        <v>1114</v>
      </c>
      <c r="C245" s="660" t="s">
        <v>1133</v>
      </c>
      <c r="D245" s="660" t="s">
        <v>3502</v>
      </c>
      <c r="E245" s="661" t="s">
        <v>1116</v>
      </c>
      <c r="F245" s="662" t="s">
        <v>3902</v>
      </c>
      <c r="G245" s="662" t="s">
        <v>3736</v>
      </c>
      <c r="H245" s="663">
        <v>8.5399999999999991</v>
      </c>
    </row>
    <row r="246" spans="1:8" customFormat="1" ht="22.5" x14ac:dyDescent="0.25">
      <c r="A246" s="673" t="s">
        <v>4018</v>
      </c>
      <c r="B246" s="674" t="s">
        <v>1114</v>
      </c>
      <c r="C246" s="674" t="s">
        <v>1209</v>
      </c>
      <c r="D246" s="674" t="s">
        <v>1175</v>
      </c>
      <c r="E246" s="675" t="s">
        <v>106</v>
      </c>
      <c r="F246" s="676" t="s">
        <v>4019</v>
      </c>
      <c r="G246" s="676" t="s">
        <v>4020</v>
      </c>
      <c r="H246" s="678">
        <v>399.69300000000004</v>
      </c>
    </row>
    <row r="247" spans="1:8" customFormat="1" ht="15" x14ac:dyDescent="0.25">
      <c r="A247" s="673" t="s">
        <v>4021</v>
      </c>
      <c r="B247" s="674" t="s">
        <v>1114</v>
      </c>
      <c r="C247" s="674" t="s">
        <v>1210</v>
      </c>
      <c r="D247" s="674" t="s">
        <v>1175</v>
      </c>
      <c r="E247" s="675" t="s">
        <v>92</v>
      </c>
      <c r="F247" s="676" t="s">
        <v>3730</v>
      </c>
      <c r="G247" s="676" t="s">
        <v>3884</v>
      </c>
      <c r="H247" s="678">
        <v>4.4400000000000004</v>
      </c>
    </row>
    <row r="248" spans="1:8" customFormat="1" ht="15.75" thickBot="1" x14ac:dyDescent="0.3">
      <c r="A248" s="673" t="s">
        <v>4022</v>
      </c>
      <c r="B248" s="674" t="s">
        <v>1114</v>
      </c>
      <c r="C248" s="674" t="s">
        <v>1177</v>
      </c>
      <c r="D248" s="674" t="s">
        <v>1175</v>
      </c>
      <c r="E248" s="675" t="s">
        <v>92</v>
      </c>
      <c r="F248" s="676" t="s">
        <v>4023</v>
      </c>
      <c r="G248" s="676" t="s">
        <v>4024</v>
      </c>
      <c r="H248" s="677">
        <v>1.8355999999999999</v>
      </c>
    </row>
    <row r="249" spans="1:8" customFormat="1" ht="15.75" thickTop="1" x14ac:dyDescent="0.25">
      <c r="A249" s="665"/>
      <c r="B249" s="666"/>
      <c r="C249" s="666"/>
      <c r="D249" s="666"/>
      <c r="E249" s="666"/>
      <c r="F249" s="666"/>
      <c r="G249" s="666"/>
      <c r="H249" s="667"/>
    </row>
    <row r="250" spans="1:8" customFormat="1" ht="15" x14ac:dyDescent="0.25">
      <c r="A250" s="668" t="s">
        <v>3457</v>
      </c>
      <c r="B250" s="669" t="s">
        <v>3697</v>
      </c>
      <c r="C250" s="669" t="s">
        <v>3460</v>
      </c>
      <c r="D250" s="669" t="s">
        <v>3462</v>
      </c>
      <c r="E250" s="670" t="s">
        <v>69</v>
      </c>
      <c r="F250" s="671" t="s">
        <v>63</v>
      </c>
      <c r="G250" s="671" t="s">
        <v>3720</v>
      </c>
      <c r="H250" s="672" t="s">
        <v>453</v>
      </c>
    </row>
    <row r="251" spans="1:8" s="658" customFormat="1" ht="22.5" x14ac:dyDescent="0.25">
      <c r="A251" s="653" t="s">
        <v>3585</v>
      </c>
      <c r="B251" s="654" t="s">
        <v>3702</v>
      </c>
      <c r="C251" s="654" t="s">
        <v>808</v>
      </c>
      <c r="D251" s="654" t="s">
        <v>3502</v>
      </c>
      <c r="E251" s="655" t="s">
        <v>56</v>
      </c>
      <c r="F251" s="656">
        <v>1</v>
      </c>
      <c r="G251" s="656" t="s">
        <v>4025</v>
      </c>
      <c r="H251" s="657" t="s">
        <v>4025</v>
      </c>
    </row>
    <row r="252" spans="1:8" customFormat="1" ht="15" x14ac:dyDescent="0.25">
      <c r="A252" s="659" t="s">
        <v>4026</v>
      </c>
      <c r="B252" s="660" t="s">
        <v>1114</v>
      </c>
      <c r="C252" s="660" t="s">
        <v>1222</v>
      </c>
      <c r="D252" s="660" t="s">
        <v>3502</v>
      </c>
      <c r="E252" s="661" t="s">
        <v>1116</v>
      </c>
      <c r="F252" s="662" t="s">
        <v>4027</v>
      </c>
      <c r="G252" s="662" t="s">
        <v>4028</v>
      </c>
      <c r="H252" s="663">
        <v>48.72</v>
      </c>
    </row>
    <row r="253" spans="1:8" customFormat="1" ht="15" x14ac:dyDescent="0.25">
      <c r="A253" s="659" t="s">
        <v>3961</v>
      </c>
      <c r="B253" s="660" t="s">
        <v>1114</v>
      </c>
      <c r="C253" s="660" t="s">
        <v>1223</v>
      </c>
      <c r="D253" s="660" t="s">
        <v>3502</v>
      </c>
      <c r="E253" s="661" t="s">
        <v>1116</v>
      </c>
      <c r="F253" s="662" t="s">
        <v>4027</v>
      </c>
      <c r="G253" s="662" t="s">
        <v>3963</v>
      </c>
      <c r="H253" s="663">
        <v>51.134999999999998</v>
      </c>
    </row>
    <row r="254" spans="1:8" customFormat="1" ht="15" x14ac:dyDescent="0.25">
      <c r="A254" s="659" t="s">
        <v>3770</v>
      </c>
      <c r="B254" s="660" t="s">
        <v>1114</v>
      </c>
      <c r="C254" s="660" t="s">
        <v>1121</v>
      </c>
      <c r="D254" s="660" t="s">
        <v>3502</v>
      </c>
      <c r="E254" s="661" t="s">
        <v>1116</v>
      </c>
      <c r="F254" s="662" t="s">
        <v>4029</v>
      </c>
      <c r="G254" s="662" t="s">
        <v>3741</v>
      </c>
      <c r="H254" s="663">
        <v>39.733199999999997</v>
      </c>
    </row>
    <row r="255" spans="1:8" customFormat="1" ht="15" x14ac:dyDescent="0.25">
      <c r="A255" s="659" t="s">
        <v>3767</v>
      </c>
      <c r="B255" s="660" t="s">
        <v>1114</v>
      </c>
      <c r="C255" s="660" t="s">
        <v>1120</v>
      </c>
      <c r="D255" s="660" t="s">
        <v>3502</v>
      </c>
      <c r="E255" s="661" t="s">
        <v>1116</v>
      </c>
      <c r="F255" s="662" t="s">
        <v>4029</v>
      </c>
      <c r="G255" s="662" t="s">
        <v>3769</v>
      </c>
      <c r="H255" s="663">
        <v>32.525999999999996</v>
      </c>
    </row>
    <row r="256" spans="1:8" customFormat="1" ht="15" x14ac:dyDescent="0.25">
      <c r="A256" s="659" t="s">
        <v>3735</v>
      </c>
      <c r="B256" s="660" t="s">
        <v>1114</v>
      </c>
      <c r="C256" s="660" t="s">
        <v>1133</v>
      </c>
      <c r="D256" s="660" t="s">
        <v>3502</v>
      </c>
      <c r="E256" s="661" t="s">
        <v>1116</v>
      </c>
      <c r="F256" s="662" t="s">
        <v>4030</v>
      </c>
      <c r="G256" s="662" t="s">
        <v>3736</v>
      </c>
      <c r="H256" s="663">
        <v>32.622799999999998</v>
      </c>
    </row>
    <row r="257" spans="1:8" customFormat="1" ht="15" x14ac:dyDescent="0.25">
      <c r="A257" s="659" t="s">
        <v>3737</v>
      </c>
      <c r="B257" s="660" t="s">
        <v>1114</v>
      </c>
      <c r="C257" s="660" t="s">
        <v>1134</v>
      </c>
      <c r="D257" s="660" t="s">
        <v>3502</v>
      </c>
      <c r="E257" s="661" t="s">
        <v>1116</v>
      </c>
      <c r="F257" s="662" t="s">
        <v>4031</v>
      </c>
      <c r="G257" s="662" t="s">
        <v>3739</v>
      </c>
      <c r="H257" s="663">
        <v>173.5</v>
      </c>
    </row>
    <row r="258" spans="1:8" customFormat="1" ht="15" x14ac:dyDescent="0.25">
      <c r="A258" s="659" t="s">
        <v>3740</v>
      </c>
      <c r="B258" s="660" t="s">
        <v>1114</v>
      </c>
      <c r="C258" s="660" t="s">
        <v>1132</v>
      </c>
      <c r="D258" s="660" t="s">
        <v>3502</v>
      </c>
      <c r="E258" s="661" t="s">
        <v>1116</v>
      </c>
      <c r="F258" s="662" t="s">
        <v>4027</v>
      </c>
      <c r="G258" s="662" t="s">
        <v>3741</v>
      </c>
      <c r="H258" s="663">
        <v>59.43</v>
      </c>
    </row>
    <row r="259" spans="1:8" customFormat="1" ht="15" x14ac:dyDescent="0.25">
      <c r="A259" s="673" t="s">
        <v>4007</v>
      </c>
      <c r="B259" s="674" t="s">
        <v>1114</v>
      </c>
      <c r="C259" s="674" t="s">
        <v>1205</v>
      </c>
      <c r="D259" s="674" t="s">
        <v>1175</v>
      </c>
      <c r="E259" s="675" t="s">
        <v>92</v>
      </c>
      <c r="F259" s="676" t="s">
        <v>4032</v>
      </c>
      <c r="G259" s="676" t="s">
        <v>4009</v>
      </c>
      <c r="H259" s="678">
        <v>3.64</v>
      </c>
    </row>
    <row r="260" spans="1:8" customFormat="1" ht="22.5" x14ac:dyDescent="0.25">
      <c r="A260" s="673" t="s">
        <v>4033</v>
      </c>
      <c r="B260" s="674" t="s">
        <v>1114</v>
      </c>
      <c r="C260" s="674" t="s">
        <v>1212</v>
      </c>
      <c r="D260" s="674" t="s">
        <v>1175</v>
      </c>
      <c r="E260" s="675" t="s">
        <v>106</v>
      </c>
      <c r="F260" s="676" t="s">
        <v>4034</v>
      </c>
      <c r="G260" s="676" t="s">
        <v>4035</v>
      </c>
      <c r="H260" s="678">
        <v>86.262</v>
      </c>
    </row>
    <row r="261" spans="1:8" customFormat="1" ht="15" x14ac:dyDescent="0.25">
      <c r="A261" s="673" t="s">
        <v>4036</v>
      </c>
      <c r="B261" s="674" t="s">
        <v>1114</v>
      </c>
      <c r="C261" s="674" t="s">
        <v>1122</v>
      </c>
      <c r="D261" s="674" t="s">
        <v>1175</v>
      </c>
      <c r="E261" s="675" t="s">
        <v>92</v>
      </c>
      <c r="F261" s="676" t="s">
        <v>4037</v>
      </c>
      <c r="G261" s="676" t="s">
        <v>4038</v>
      </c>
      <c r="H261" s="678">
        <v>118.59</v>
      </c>
    </row>
    <row r="262" spans="1:8" customFormat="1" ht="22.5" x14ac:dyDescent="0.25">
      <c r="A262" s="673" t="s">
        <v>4039</v>
      </c>
      <c r="B262" s="674" t="s">
        <v>1114</v>
      </c>
      <c r="C262" s="674" t="s">
        <v>1213</v>
      </c>
      <c r="D262" s="674" t="s">
        <v>1175</v>
      </c>
      <c r="E262" s="675" t="s">
        <v>99</v>
      </c>
      <c r="F262" s="676" t="s">
        <v>4040</v>
      </c>
      <c r="G262" s="676" t="s">
        <v>4041</v>
      </c>
      <c r="H262" s="678">
        <v>10.305</v>
      </c>
    </row>
    <row r="263" spans="1:8" customFormat="1" ht="22.5" x14ac:dyDescent="0.25">
      <c r="A263" s="673" t="s">
        <v>4042</v>
      </c>
      <c r="B263" s="674" t="s">
        <v>1114</v>
      </c>
      <c r="C263" s="674" t="s">
        <v>4043</v>
      </c>
      <c r="D263" s="674" t="s">
        <v>1175</v>
      </c>
      <c r="E263" s="675" t="s">
        <v>99</v>
      </c>
      <c r="F263" s="676" t="s">
        <v>4044</v>
      </c>
      <c r="G263" s="676" t="s">
        <v>4045</v>
      </c>
      <c r="H263" s="678">
        <v>420.73500000000001</v>
      </c>
    </row>
    <row r="264" spans="1:8" customFormat="1" ht="15" x14ac:dyDescent="0.25">
      <c r="A264" s="673" t="s">
        <v>3852</v>
      </c>
      <c r="B264" s="674" t="s">
        <v>1114</v>
      </c>
      <c r="C264" s="674" t="s">
        <v>1214</v>
      </c>
      <c r="D264" s="674" t="s">
        <v>1175</v>
      </c>
      <c r="E264" s="675" t="s">
        <v>92</v>
      </c>
      <c r="F264" s="676" t="s">
        <v>3811</v>
      </c>
      <c r="G264" s="676" t="s">
        <v>3854</v>
      </c>
      <c r="H264" s="678">
        <v>10.233999999999998</v>
      </c>
    </row>
    <row r="265" spans="1:8" customFormat="1" ht="15" x14ac:dyDescent="0.25">
      <c r="A265" s="673" t="s">
        <v>3977</v>
      </c>
      <c r="B265" s="674" t="s">
        <v>1114</v>
      </c>
      <c r="C265" s="674" t="s">
        <v>1194</v>
      </c>
      <c r="D265" s="674" t="s">
        <v>1175</v>
      </c>
      <c r="E265" s="675" t="s">
        <v>92</v>
      </c>
      <c r="F265" s="676" t="s">
        <v>4046</v>
      </c>
      <c r="G265" s="676" t="s">
        <v>3978</v>
      </c>
      <c r="H265" s="678">
        <v>3.5505</v>
      </c>
    </row>
    <row r="266" spans="1:8" customFormat="1" ht="22.5" x14ac:dyDescent="0.25">
      <c r="A266" s="673" t="s">
        <v>4047</v>
      </c>
      <c r="B266" s="674" t="s">
        <v>1114</v>
      </c>
      <c r="C266" s="674" t="s">
        <v>1215</v>
      </c>
      <c r="D266" s="674" t="s">
        <v>1175</v>
      </c>
      <c r="E266" s="675" t="s">
        <v>1151</v>
      </c>
      <c r="F266" s="676" t="s">
        <v>3980</v>
      </c>
      <c r="G266" s="676" t="s">
        <v>4048</v>
      </c>
      <c r="H266" s="678">
        <v>10.620000000000001</v>
      </c>
    </row>
    <row r="267" spans="1:8" customFormat="1" ht="15" x14ac:dyDescent="0.25">
      <c r="A267" s="673" t="s">
        <v>4049</v>
      </c>
      <c r="B267" s="674" t="s">
        <v>1114</v>
      </c>
      <c r="C267" s="674" t="s">
        <v>1216</v>
      </c>
      <c r="D267" s="674" t="s">
        <v>1175</v>
      </c>
      <c r="E267" s="675" t="s">
        <v>92</v>
      </c>
      <c r="F267" s="676" t="s">
        <v>4050</v>
      </c>
      <c r="G267" s="676" t="s">
        <v>4051</v>
      </c>
      <c r="H267" s="678">
        <v>44.800000000000004</v>
      </c>
    </row>
    <row r="268" spans="1:8" customFormat="1" ht="15" x14ac:dyDescent="0.25">
      <c r="A268" s="673" t="s">
        <v>4052</v>
      </c>
      <c r="B268" s="674" t="s">
        <v>1114</v>
      </c>
      <c r="C268" s="674" t="s">
        <v>1271</v>
      </c>
      <c r="D268" s="674" t="s">
        <v>1175</v>
      </c>
      <c r="E268" s="675" t="s">
        <v>273</v>
      </c>
      <c r="F268" s="676" t="s">
        <v>4053</v>
      </c>
      <c r="G268" s="676" t="s">
        <v>3829</v>
      </c>
      <c r="H268" s="678">
        <v>7.9520000000000008</v>
      </c>
    </row>
    <row r="269" spans="1:8" customFormat="1" ht="15" x14ac:dyDescent="0.25">
      <c r="A269" s="673" t="s">
        <v>4054</v>
      </c>
      <c r="B269" s="674" t="s">
        <v>1114</v>
      </c>
      <c r="C269" s="674" t="s">
        <v>1217</v>
      </c>
      <c r="D269" s="674" t="s">
        <v>1175</v>
      </c>
      <c r="E269" s="675" t="s">
        <v>273</v>
      </c>
      <c r="F269" s="676" t="s">
        <v>3902</v>
      </c>
      <c r="G269" s="676" t="s">
        <v>4055</v>
      </c>
      <c r="H269" s="678">
        <v>25</v>
      </c>
    </row>
    <row r="270" spans="1:8" customFormat="1" ht="15" x14ac:dyDescent="0.25">
      <c r="A270" s="673" t="s">
        <v>4056</v>
      </c>
      <c r="B270" s="674" t="s">
        <v>1114</v>
      </c>
      <c r="C270" s="674" t="s">
        <v>1218</v>
      </c>
      <c r="D270" s="674" t="s">
        <v>1175</v>
      </c>
      <c r="E270" s="675" t="s">
        <v>56</v>
      </c>
      <c r="F270" s="676" t="s">
        <v>3920</v>
      </c>
      <c r="G270" s="676" t="s">
        <v>4057</v>
      </c>
      <c r="H270" s="678">
        <v>6.1110000000000007</v>
      </c>
    </row>
    <row r="271" spans="1:8" customFormat="1" ht="15" x14ac:dyDescent="0.25">
      <c r="A271" s="673" t="s">
        <v>4058</v>
      </c>
      <c r="B271" s="674" t="s">
        <v>1114</v>
      </c>
      <c r="C271" s="674" t="s">
        <v>1219</v>
      </c>
      <c r="D271" s="674" t="s">
        <v>1175</v>
      </c>
      <c r="E271" s="675" t="s">
        <v>1151</v>
      </c>
      <c r="F271" s="676" t="s">
        <v>3818</v>
      </c>
      <c r="G271" s="676" t="s">
        <v>4059</v>
      </c>
      <c r="H271" s="678">
        <v>22.77</v>
      </c>
    </row>
    <row r="272" spans="1:8" customFormat="1" ht="15" x14ac:dyDescent="0.25">
      <c r="A272" s="673" t="s">
        <v>4060</v>
      </c>
      <c r="B272" s="674" t="s">
        <v>1114</v>
      </c>
      <c r="C272" s="674" t="s">
        <v>1220</v>
      </c>
      <c r="D272" s="674" t="s">
        <v>1175</v>
      </c>
      <c r="E272" s="675" t="s">
        <v>273</v>
      </c>
      <c r="F272" s="676" t="s">
        <v>4061</v>
      </c>
      <c r="G272" s="676" t="s">
        <v>4062</v>
      </c>
      <c r="H272" s="678">
        <v>24.114799999999999</v>
      </c>
    </row>
    <row r="273" spans="1:8" customFormat="1" ht="22.5" x14ac:dyDescent="0.25">
      <c r="A273" s="673" t="s">
        <v>4063</v>
      </c>
      <c r="B273" s="674" t="s">
        <v>1114</v>
      </c>
      <c r="C273" s="674" t="s">
        <v>1221</v>
      </c>
      <c r="D273" s="674" t="s">
        <v>1175</v>
      </c>
      <c r="E273" s="675" t="s">
        <v>99</v>
      </c>
      <c r="F273" s="676" t="s">
        <v>4064</v>
      </c>
      <c r="G273" s="676" t="s">
        <v>4065</v>
      </c>
      <c r="H273" s="678">
        <v>449.57</v>
      </c>
    </row>
    <row r="274" spans="1:8" customFormat="1" ht="15" x14ac:dyDescent="0.25">
      <c r="A274" s="673" t="s">
        <v>3849</v>
      </c>
      <c r="B274" s="674" t="s">
        <v>1114</v>
      </c>
      <c r="C274" s="674" t="s">
        <v>1150</v>
      </c>
      <c r="D274" s="674" t="s">
        <v>1175</v>
      </c>
      <c r="E274" s="675" t="s">
        <v>1151</v>
      </c>
      <c r="F274" s="676" t="s">
        <v>3811</v>
      </c>
      <c r="G274" s="676" t="s">
        <v>3851</v>
      </c>
      <c r="H274" s="678">
        <v>16.132999999999999</v>
      </c>
    </row>
    <row r="275" spans="1:8" customFormat="1" ht="15.75" thickBot="1" x14ac:dyDescent="0.3">
      <c r="A275" s="673" t="s">
        <v>3973</v>
      </c>
      <c r="B275" s="674" t="s">
        <v>1114</v>
      </c>
      <c r="C275" s="674" t="s">
        <v>1192</v>
      </c>
      <c r="D275" s="674" t="s">
        <v>1175</v>
      </c>
      <c r="E275" s="675" t="s">
        <v>92</v>
      </c>
      <c r="F275" s="676" t="s">
        <v>4066</v>
      </c>
      <c r="G275" s="676" t="s">
        <v>3974</v>
      </c>
      <c r="H275" s="677">
        <v>8.5018999999999991</v>
      </c>
    </row>
    <row r="276" spans="1:8" customFormat="1" ht="15.75" thickTop="1" x14ac:dyDescent="0.25">
      <c r="A276" s="665"/>
      <c r="B276" s="666"/>
      <c r="C276" s="666"/>
      <c r="D276" s="666"/>
      <c r="E276" s="666"/>
      <c r="F276" s="666"/>
      <c r="G276" s="666"/>
      <c r="H276" s="667"/>
    </row>
    <row r="277" spans="1:8" customFormat="1" ht="15" x14ac:dyDescent="0.25">
      <c r="A277" s="668" t="s">
        <v>3457</v>
      </c>
      <c r="B277" s="669" t="s">
        <v>3697</v>
      </c>
      <c r="C277" s="669" t="s">
        <v>3460</v>
      </c>
      <c r="D277" s="669" t="s">
        <v>3462</v>
      </c>
      <c r="E277" s="670" t="s">
        <v>69</v>
      </c>
      <c r="F277" s="671" t="s">
        <v>63</v>
      </c>
      <c r="G277" s="671" t="s">
        <v>3720</v>
      </c>
      <c r="H277" s="672" t="s">
        <v>453</v>
      </c>
    </row>
    <row r="278" spans="1:8" s="658" customFormat="1" ht="22.5" x14ac:dyDescent="0.25">
      <c r="A278" s="653" t="s">
        <v>3586</v>
      </c>
      <c r="B278" s="654" t="s">
        <v>3702</v>
      </c>
      <c r="C278" s="654" t="s">
        <v>811</v>
      </c>
      <c r="D278" s="654" t="s">
        <v>3502</v>
      </c>
      <c r="E278" s="655" t="s">
        <v>56</v>
      </c>
      <c r="F278" s="656">
        <v>1</v>
      </c>
      <c r="G278" s="656" t="s">
        <v>4067</v>
      </c>
      <c r="H278" s="657" t="s">
        <v>4067</v>
      </c>
    </row>
    <row r="279" spans="1:8" customFormat="1" ht="15.75" thickBot="1" x14ac:dyDescent="0.3">
      <c r="A279" s="673" t="s">
        <v>4068</v>
      </c>
      <c r="B279" s="674" t="s">
        <v>3702</v>
      </c>
      <c r="C279" s="674" t="s">
        <v>4069</v>
      </c>
      <c r="D279" s="674" t="s">
        <v>1175</v>
      </c>
      <c r="E279" s="675" t="s">
        <v>56</v>
      </c>
      <c r="F279" s="676" t="s">
        <v>3711</v>
      </c>
      <c r="G279" s="676" t="s">
        <v>4067</v>
      </c>
      <c r="H279" s="677">
        <v>1500</v>
      </c>
    </row>
    <row r="280" spans="1:8" customFormat="1" ht="15.75" thickTop="1" x14ac:dyDescent="0.25">
      <c r="A280" s="665"/>
      <c r="B280" s="666"/>
      <c r="C280" s="666"/>
      <c r="D280" s="666"/>
      <c r="E280" s="666"/>
      <c r="F280" s="666"/>
      <c r="G280" s="666"/>
      <c r="H280" s="667"/>
    </row>
    <row r="281" spans="1:8" customFormat="1" ht="15" x14ac:dyDescent="0.25">
      <c r="A281" s="668" t="s">
        <v>3457</v>
      </c>
      <c r="B281" s="669" t="s">
        <v>3697</v>
      </c>
      <c r="C281" s="669" t="s">
        <v>3460</v>
      </c>
      <c r="D281" s="669" t="s">
        <v>3462</v>
      </c>
      <c r="E281" s="670" t="s">
        <v>69</v>
      </c>
      <c r="F281" s="671" t="s">
        <v>63</v>
      </c>
      <c r="G281" s="671" t="s">
        <v>3720</v>
      </c>
      <c r="H281" s="672" t="s">
        <v>453</v>
      </c>
    </row>
    <row r="282" spans="1:8" s="658" customFormat="1" ht="33.75" x14ac:dyDescent="0.25">
      <c r="A282" s="653" t="s">
        <v>3634</v>
      </c>
      <c r="B282" s="654" t="s">
        <v>3702</v>
      </c>
      <c r="C282" s="654" t="s">
        <v>3635</v>
      </c>
      <c r="D282" s="654" t="s">
        <v>3500</v>
      </c>
      <c r="E282" s="655" t="s">
        <v>106</v>
      </c>
      <c r="F282" s="656">
        <v>1</v>
      </c>
      <c r="G282" s="656" t="s">
        <v>4070</v>
      </c>
      <c r="H282" s="657" t="s">
        <v>4070</v>
      </c>
    </row>
    <row r="283" spans="1:8" customFormat="1" ht="15" x14ac:dyDescent="0.25">
      <c r="A283" s="659" t="s">
        <v>3945</v>
      </c>
      <c r="B283" s="660" t="s">
        <v>1114</v>
      </c>
      <c r="C283" s="660" t="s">
        <v>1577</v>
      </c>
      <c r="D283" s="660" t="s">
        <v>3502</v>
      </c>
      <c r="E283" s="661" t="s">
        <v>1116</v>
      </c>
      <c r="F283" s="662" t="s">
        <v>4071</v>
      </c>
      <c r="G283" s="662" t="s">
        <v>3947</v>
      </c>
      <c r="H283" s="663">
        <v>39.095999999999997</v>
      </c>
    </row>
    <row r="284" spans="1:8" customFormat="1" ht="15" x14ac:dyDescent="0.25">
      <c r="A284" s="659" t="s">
        <v>3737</v>
      </c>
      <c r="B284" s="660" t="s">
        <v>1114</v>
      </c>
      <c r="C284" s="660" t="s">
        <v>1134</v>
      </c>
      <c r="D284" s="660" t="s">
        <v>3502</v>
      </c>
      <c r="E284" s="661" t="s">
        <v>1116</v>
      </c>
      <c r="F284" s="662" t="s">
        <v>4071</v>
      </c>
      <c r="G284" s="662" t="s">
        <v>3739</v>
      </c>
      <c r="H284" s="663">
        <v>33.311999999999998</v>
      </c>
    </row>
    <row r="285" spans="1:8" customFormat="1" ht="15" x14ac:dyDescent="0.25">
      <c r="A285" s="659" t="s">
        <v>3888</v>
      </c>
      <c r="B285" s="660" t="s">
        <v>1114</v>
      </c>
      <c r="C285" s="660" t="s">
        <v>1162</v>
      </c>
      <c r="D285" s="660" t="s">
        <v>3502</v>
      </c>
      <c r="E285" s="661" t="s">
        <v>273</v>
      </c>
      <c r="F285" s="662" t="s">
        <v>4072</v>
      </c>
      <c r="G285" s="662" t="s">
        <v>3889</v>
      </c>
      <c r="H285" s="663">
        <v>8.7419200000000004</v>
      </c>
    </row>
    <row r="286" spans="1:8" customFormat="1" ht="23.25" thickBot="1" x14ac:dyDescent="0.3">
      <c r="A286" s="673" t="s">
        <v>4073</v>
      </c>
      <c r="B286" s="674" t="s">
        <v>1114</v>
      </c>
      <c r="C286" s="674" t="s">
        <v>4074</v>
      </c>
      <c r="D286" s="674" t="s">
        <v>1175</v>
      </c>
      <c r="E286" s="675" t="s">
        <v>106</v>
      </c>
      <c r="F286" s="676" t="s">
        <v>3711</v>
      </c>
      <c r="G286" s="676" t="s">
        <v>4075</v>
      </c>
      <c r="H286" s="677">
        <v>240</v>
      </c>
    </row>
    <row r="287" spans="1:8" customFormat="1" ht="15.75" thickTop="1" x14ac:dyDescent="0.25">
      <c r="A287" s="665"/>
      <c r="B287" s="666"/>
      <c r="C287" s="666"/>
      <c r="D287" s="666"/>
      <c r="E287" s="666"/>
      <c r="F287" s="666"/>
      <c r="G287" s="666"/>
      <c r="H287" s="667"/>
    </row>
    <row r="288" spans="1:8" customFormat="1" ht="15" x14ac:dyDescent="0.25">
      <c r="A288" s="668" t="s">
        <v>3457</v>
      </c>
      <c r="B288" s="669" t="s">
        <v>3697</v>
      </c>
      <c r="C288" s="669" t="s">
        <v>3460</v>
      </c>
      <c r="D288" s="669" t="s">
        <v>3462</v>
      </c>
      <c r="E288" s="670" t="s">
        <v>69</v>
      </c>
      <c r="F288" s="671" t="s">
        <v>63</v>
      </c>
      <c r="G288" s="671" t="s">
        <v>3720</v>
      </c>
      <c r="H288" s="672" t="s">
        <v>453</v>
      </c>
    </row>
    <row r="289" spans="1:8" s="658" customFormat="1" ht="33.75" x14ac:dyDescent="0.25">
      <c r="A289" s="653" t="s">
        <v>3581</v>
      </c>
      <c r="B289" s="654" t="s">
        <v>3702</v>
      </c>
      <c r="C289" s="654" t="s">
        <v>796</v>
      </c>
      <c r="D289" s="654" t="s">
        <v>3502</v>
      </c>
      <c r="E289" s="655" t="s">
        <v>106</v>
      </c>
      <c r="F289" s="656">
        <v>1</v>
      </c>
      <c r="G289" s="656" t="s">
        <v>4076</v>
      </c>
      <c r="H289" s="657" t="s">
        <v>4076</v>
      </c>
    </row>
    <row r="290" spans="1:8" customFormat="1" ht="33.75" x14ac:dyDescent="0.25">
      <c r="A290" s="659" t="s">
        <v>4077</v>
      </c>
      <c r="B290" s="660" t="s">
        <v>1114</v>
      </c>
      <c r="C290" s="660" t="s">
        <v>1225</v>
      </c>
      <c r="D290" s="660" t="s">
        <v>3502</v>
      </c>
      <c r="E290" s="661" t="s">
        <v>273</v>
      </c>
      <c r="F290" s="662" t="s">
        <v>3775</v>
      </c>
      <c r="G290" s="662" t="s">
        <v>4078</v>
      </c>
      <c r="H290" s="663">
        <v>8.8372500000000009</v>
      </c>
    </row>
    <row r="291" spans="1:8" customFormat="1" ht="23.25" thickBot="1" x14ac:dyDescent="0.3">
      <c r="A291" s="673" t="s">
        <v>4073</v>
      </c>
      <c r="B291" s="674" t="s">
        <v>1114</v>
      </c>
      <c r="C291" s="674" t="s">
        <v>4074</v>
      </c>
      <c r="D291" s="674" t="s">
        <v>1175</v>
      </c>
      <c r="E291" s="675" t="s">
        <v>106</v>
      </c>
      <c r="F291" s="676" t="s">
        <v>3711</v>
      </c>
      <c r="G291" s="676" t="s">
        <v>4075</v>
      </c>
      <c r="H291" s="677">
        <v>240</v>
      </c>
    </row>
    <row r="292" spans="1:8" customFormat="1" ht="15.75" thickTop="1" x14ac:dyDescent="0.25">
      <c r="A292" s="665"/>
      <c r="B292" s="666"/>
      <c r="C292" s="666"/>
      <c r="D292" s="666"/>
      <c r="E292" s="666"/>
      <c r="F292" s="666"/>
      <c r="G292" s="666"/>
      <c r="H292" s="667"/>
    </row>
    <row r="293" spans="1:8" customFormat="1" ht="15" x14ac:dyDescent="0.25">
      <c r="A293" s="668" t="s">
        <v>3457</v>
      </c>
      <c r="B293" s="669" t="s">
        <v>3697</v>
      </c>
      <c r="C293" s="669" t="s">
        <v>3460</v>
      </c>
      <c r="D293" s="669" t="s">
        <v>3462</v>
      </c>
      <c r="E293" s="670" t="s">
        <v>69</v>
      </c>
      <c r="F293" s="671" t="s">
        <v>63</v>
      </c>
      <c r="G293" s="671" t="s">
        <v>3720</v>
      </c>
      <c r="H293" s="672" t="s">
        <v>453</v>
      </c>
    </row>
    <row r="294" spans="1:8" s="658" customFormat="1" ht="22.5" x14ac:dyDescent="0.25">
      <c r="A294" s="653" t="s">
        <v>3588</v>
      </c>
      <c r="B294" s="654" t="s">
        <v>3702</v>
      </c>
      <c r="C294" s="654" t="s">
        <v>2667</v>
      </c>
      <c r="D294" s="654" t="s">
        <v>3502</v>
      </c>
      <c r="E294" s="655" t="s">
        <v>56</v>
      </c>
      <c r="F294" s="656">
        <v>1</v>
      </c>
      <c r="G294" s="656" t="s">
        <v>4079</v>
      </c>
      <c r="H294" s="657" t="s">
        <v>4079</v>
      </c>
    </row>
    <row r="295" spans="1:8" customFormat="1" ht="23.25" thickBot="1" x14ac:dyDescent="0.3">
      <c r="A295" s="673" t="s">
        <v>4080</v>
      </c>
      <c r="B295" s="674" t="s">
        <v>3702</v>
      </c>
      <c r="C295" s="674" t="s">
        <v>4081</v>
      </c>
      <c r="D295" s="674" t="s">
        <v>1175</v>
      </c>
      <c r="E295" s="675" t="s">
        <v>56</v>
      </c>
      <c r="F295" s="676" t="s">
        <v>3711</v>
      </c>
      <c r="G295" s="676" t="s">
        <v>4079</v>
      </c>
      <c r="H295" s="677">
        <v>3800</v>
      </c>
    </row>
    <row r="296" spans="1:8" customFormat="1" ht="15.75" thickTop="1" x14ac:dyDescent="0.25">
      <c r="A296" s="665"/>
      <c r="B296" s="666"/>
      <c r="C296" s="666"/>
      <c r="D296" s="666"/>
      <c r="E296" s="666"/>
      <c r="F296" s="666"/>
      <c r="G296" s="666"/>
      <c r="H296" s="667"/>
    </row>
    <row r="297" spans="1:8" customFormat="1" ht="15" x14ac:dyDescent="0.25">
      <c r="A297" s="668" t="s">
        <v>3457</v>
      </c>
      <c r="B297" s="669" t="s">
        <v>3697</v>
      </c>
      <c r="C297" s="669" t="s">
        <v>3460</v>
      </c>
      <c r="D297" s="669" t="s">
        <v>3462</v>
      </c>
      <c r="E297" s="670" t="s">
        <v>69</v>
      </c>
      <c r="F297" s="671" t="s">
        <v>63</v>
      </c>
      <c r="G297" s="671" t="s">
        <v>3720</v>
      </c>
      <c r="H297" s="672" t="s">
        <v>453</v>
      </c>
    </row>
    <row r="298" spans="1:8" s="658" customFormat="1" ht="22.5" x14ac:dyDescent="0.25">
      <c r="A298" s="653" t="s">
        <v>3624</v>
      </c>
      <c r="B298" s="654" t="s">
        <v>3702</v>
      </c>
      <c r="C298" s="654" t="s">
        <v>2582</v>
      </c>
      <c r="D298" s="654" t="s">
        <v>3502</v>
      </c>
      <c r="E298" s="655" t="s">
        <v>56</v>
      </c>
      <c r="F298" s="656">
        <v>1</v>
      </c>
      <c r="G298" s="656" t="s">
        <v>4082</v>
      </c>
      <c r="H298" s="657" t="s">
        <v>4082</v>
      </c>
    </row>
    <row r="299" spans="1:8" customFormat="1" ht="15.75" thickBot="1" x14ac:dyDescent="0.3">
      <c r="A299" s="673" t="s">
        <v>4083</v>
      </c>
      <c r="B299" s="674" t="s">
        <v>3702</v>
      </c>
      <c r="C299" s="674" t="s">
        <v>2583</v>
      </c>
      <c r="D299" s="674" t="s">
        <v>1175</v>
      </c>
      <c r="E299" s="675" t="s">
        <v>56</v>
      </c>
      <c r="F299" s="676" t="s">
        <v>3711</v>
      </c>
      <c r="G299" s="676" t="s">
        <v>4082</v>
      </c>
      <c r="H299" s="677">
        <v>1400</v>
      </c>
    </row>
    <row r="300" spans="1:8" customFormat="1" ht="15.75" thickTop="1" x14ac:dyDescent="0.25">
      <c r="A300" s="665"/>
      <c r="B300" s="666"/>
      <c r="C300" s="666"/>
      <c r="D300" s="666"/>
      <c r="E300" s="666"/>
      <c r="F300" s="666"/>
      <c r="G300" s="666"/>
      <c r="H300" s="667"/>
    </row>
    <row r="301" spans="1:8" customFormat="1" ht="15" x14ac:dyDescent="0.25">
      <c r="A301" s="668" t="s">
        <v>3457</v>
      </c>
      <c r="B301" s="669" t="s">
        <v>3697</v>
      </c>
      <c r="C301" s="669" t="s">
        <v>3460</v>
      </c>
      <c r="D301" s="669" t="s">
        <v>3462</v>
      </c>
      <c r="E301" s="670" t="s">
        <v>69</v>
      </c>
      <c r="F301" s="671" t="s">
        <v>63</v>
      </c>
      <c r="G301" s="671" t="s">
        <v>3720</v>
      </c>
      <c r="H301" s="672" t="s">
        <v>453</v>
      </c>
    </row>
    <row r="302" spans="1:8" s="658" customFormat="1" ht="22.5" x14ac:dyDescent="0.25">
      <c r="A302" s="653" t="s">
        <v>3582</v>
      </c>
      <c r="B302" s="654" t="s">
        <v>3702</v>
      </c>
      <c r="C302" s="654" t="s">
        <v>800</v>
      </c>
      <c r="D302" s="654" t="s">
        <v>3502</v>
      </c>
      <c r="E302" s="655" t="s">
        <v>56</v>
      </c>
      <c r="F302" s="656">
        <v>1</v>
      </c>
      <c r="G302" s="656" t="s">
        <v>4084</v>
      </c>
      <c r="H302" s="657" t="s">
        <v>4084</v>
      </c>
    </row>
    <row r="303" spans="1:8" customFormat="1" ht="15" x14ac:dyDescent="0.25">
      <c r="A303" s="659" t="s">
        <v>3735</v>
      </c>
      <c r="B303" s="660" t="s">
        <v>1114</v>
      </c>
      <c r="C303" s="660" t="s">
        <v>1133</v>
      </c>
      <c r="D303" s="660" t="s">
        <v>3502</v>
      </c>
      <c r="E303" s="661" t="s">
        <v>1116</v>
      </c>
      <c r="F303" s="662" t="s">
        <v>3711</v>
      </c>
      <c r="G303" s="662" t="s">
        <v>3736</v>
      </c>
      <c r="H303" s="663">
        <v>17.079999999999998</v>
      </c>
    </row>
    <row r="304" spans="1:8" customFormat="1" ht="15" x14ac:dyDescent="0.25">
      <c r="A304" s="659" t="s">
        <v>3737</v>
      </c>
      <c r="B304" s="660" t="s">
        <v>1114</v>
      </c>
      <c r="C304" s="660" t="s">
        <v>1134</v>
      </c>
      <c r="D304" s="660" t="s">
        <v>3502</v>
      </c>
      <c r="E304" s="661" t="s">
        <v>1116</v>
      </c>
      <c r="F304" s="662" t="s">
        <v>3711</v>
      </c>
      <c r="G304" s="662" t="s">
        <v>3739</v>
      </c>
      <c r="H304" s="663">
        <v>13.88</v>
      </c>
    </row>
    <row r="305" spans="1:8" customFormat="1" ht="15.75" thickBot="1" x14ac:dyDescent="0.3">
      <c r="A305" s="673" t="s">
        <v>4085</v>
      </c>
      <c r="B305" s="674" t="s">
        <v>1114</v>
      </c>
      <c r="C305" s="674" t="s">
        <v>1227</v>
      </c>
      <c r="D305" s="674" t="s">
        <v>1175</v>
      </c>
      <c r="E305" s="675" t="s">
        <v>56</v>
      </c>
      <c r="F305" s="676" t="s">
        <v>3711</v>
      </c>
      <c r="G305" s="676" t="s">
        <v>4086</v>
      </c>
      <c r="H305" s="677">
        <v>181.83</v>
      </c>
    </row>
    <row r="306" spans="1:8" customFormat="1" ht="15.75" thickTop="1" x14ac:dyDescent="0.25">
      <c r="A306" s="665"/>
      <c r="B306" s="666"/>
      <c r="C306" s="666"/>
      <c r="D306" s="666"/>
      <c r="E306" s="666"/>
      <c r="F306" s="666"/>
      <c r="G306" s="666"/>
      <c r="H306" s="667"/>
    </row>
    <row r="307" spans="1:8" customFormat="1" ht="15" x14ac:dyDescent="0.25">
      <c r="A307" s="668" t="s">
        <v>3457</v>
      </c>
      <c r="B307" s="669" t="s">
        <v>3697</v>
      </c>
      <c r="C307" s="669" t="s">
        <v>3460</v>
      </c>
      <c r="D307" s="669" t="s">
        <v>3462</v>
      </c>
      <c r="E307" s="670" t="s">
        <v>69</v>
      </c>
      <c r="F307" s="671" t="s">
        <v>63</v>
      </c>
      <c r="G307" s="671" t="s">
        <v>3720</v>
      </c>
      <c r="H307" s="672" t="s">
        <v>453</v>
      </c>
    </row>
    <row r="308" spans="1:8" s="658" customFormat="1" ht="22.5" x14ac:dyDescent="0.25">
      <c r="A308" s="653" t="s">
        <v>3601</v>
      </c>
      <c r="B308" s="654" t="s">
        <v>3702</v>
      </c>
      <c r="C308" s="654" t="s">
        <v>2758</v>
      </c>
      <c r="D308" s="654" t="s">
        <v>3502</v>
      </c>
      <c r="E308" s="655" t="s">
        <v>56</v>
      </c>
      <c r="F308" s="656">
        <v>1</v>
      </c>
      <c r="G308" s="656" t="s">
        <v>4087</v>
      </c>
      <c r="H308" s="657" t="s">
        <v>4087</v>
      </c>
    </row>
    <row r="309" spans="1:8" customFormat="1" ht="23.25" thickBot="1" x14ac:dyDescent="0.3">
      <c r="A309" s="673" t="s">
        <v>4088</v>
      </c>
      <c r="B309" s="674" t="s">
        <v>3702</v>
      </c>
      <c r="C309" s="674" t="s">
        <v>1932</v>
      </c>
      <c r="D309" s="674" t="s">
        <v>1175</v>
      </c>
      <c r="E309" s="675" t="s">
        <v>56</v>
      </c>
      <c r="F309" s="676" t="s">
        <v>3711</v>
      </c>
      <c r="G309" s="676" t="s">
        <v>4087</v>
      </c>
      <c r="H309" s="677">
        <v>2250</v>
      </c>
    </row>
    <row r="310" spans="1:8" customFormat="1" ht="15.75" thickTop="1" x14ac:dyDescent="0.25">
      <c r="A310" s="665"/>
      <c r="B310" s="666"/>
      <c r="C310" s="666"/>
      <c r="D310" s="666"/>
      <c r="E310" s="666"/>
      <c r="F310" s="666"/>
      <c r="G310" s="666"/>
      <c r="H310" s="667"/>
    </row>
    <row r="311" spans="1:8" customFormat="1" ht="15" x14ac:dyDescent="0.25">
      <c r="A311" s="668" t="s">
        <v>3457</v>
      </c>
      <c r="B311" s="669" t="s">
        <v>3697</v>
      </c>
      <c r="C311" s="669" t="s">
        <v>3460</v>
      </c>
      <c r="D311" s="669" t="s">
        <v>3462</v>
      </c>
      <c r="E311" s="670" t="s">
        <v>69</v>
      </c>
      <c r="F311" s="671" t="s">
        <v>63</v>
      </c>
      <c r="G311" s="671" t="s">
        <v>3720</v>
      </c>
      <c r="H311" s="672" t="s">
        <v>453</v>
      </c>
    </row>
    <row r="312" spans="1:8" s="658" customFormat="1" ht="22.5" x14ac:dyDescent="0.25">
      <c r="A312" s="653" t="s">
        <v>3681</v>
      </c>
      <c r="B312" s="654" t="s">
        <v>3702</v>
      </c>
      <c r="C312" s="654" t="s">
        <v>3093</v>
      </c>
      <c r="D312" s="654" t="s">
        <v>3502</v>
      </c>
      <c r="E312" s="655" t="s">
        <v>56</v>
      </c>
      <c r="F312" s="656">
        <v>1</v>
      </c>
      <c r="G312" s="656" t="s">
        <v>4089</v>
      </c>
      <c r="H312" s="657" t="s">
        <v>4089</v>
      </c>
    </row>
    <row r="313" spans="1:8" customFormat="1" ht="15.75" thickBot="1" x14ac:dyDescent="0.3">
      <c r="A313" s="673" t="s">
        <v>4090</v>
      </c>
      <c r="B313" s="674" t="s">
        <v>3702</v>
      </c>
      <c r="C313" s="674" t="s">
        <v>4091</v>
      </c>
      <c r="D313" s="674" t="s">
        <v>1175</v>
      </c>
      <c r="E313" s="675" t="s">
        <v>56</v>
      </c>
      <c r="F313" s="676" t="s">
        <v>3711</v>
      </c>
      <c r="G313" s="676" t="s">
        <v>4089</v>
      </c>
      <c r="H313" s="677">
        <v>180</v>
      </c>
    </row>
    <row r="314" spans="1:8" customFormat="1" ht="15.75" thickTop="1" x14ac:dyDescent="0.25">
      <c r="A314" s="665"/>
      <c r="B314" s="666"/>
      <c r="C314" s="666"/>
      <c r="D314" s="666"/>
      <c r="E314" s="666"/>
      <c r="F314" s="666"/>
      <c r="G314" s="666"/>
      <c r="H314" s="667"/>
    </row>
    <row r="315" spans="1:8" customFormat="1" ht="15" x14ac:dyDescent="0.25">
      <c r="A315" s="668" t="s">
        <v>3457</v>
      </c>
      <c r="B315" s="669" t="s">
        <v>3697</v>
      </c>
      <c r="C315" s="669" t="s">
        <v>3460</v>
      </c>
      <c r="D315" s="669" t="s">
        <v>3462</v>
      </c>
      <c r="E315" s="670" t="s">
        <v>69</v>
      </c>
      <c r="F315" s="671" t="s">
        <v>63</v>
      </c>
      <c r="G315" s="671" t="s">
        <v>3720</v>
      </c>
      <c r="H315" s="672" t="s">
        <v>453</v>
      </c>
    </row>
    <row r="316" spans="1:8" s="658" customFormat="1" ht="22.5" x14ac:dyDescent="0.25">
      <c r="A316" s="653" t="s">
        <v>3594</v>
      </c>
      <c r="B316" s="654" t="s">
        <v>3702</v>
      </c>
      <c r="C316" s="654" t="s">
        <v>954</v>
      </c>
      <c r="D316" s="654" t="s">
        <v>3502</v>
      </c>
      <c r="E316" s="655" t="s">
        <v>56</v>
      </c>
      <c r="F316" s="656">
        <v>1</v>
      </c>
      <c r="G316" s="656" t="s">
        <v>4092</v>
      </c>
      <c r="H316" s="657" t="s">
        <v>4092</v>
      </c>
    </row>
    <row r="317" spans="1:8" customFormat="1" ht="15" x14ac:dyDescent="0.25">
      <c r="A317" s="659" t="s">
        <v>3735</v>
      </c>
      <c r="B317" s="660" t="s">
        <v>1114</v>
      </c>
      <c r="C317" s="660" t="s">
        <v>1133</v>
      </c>
      <c r="D317" s="660" t="s">
        <v>3502</v>
      </c>
      <c r="E317" s="661" t="s">
        <v>1116</v>
      </c>
      <c r="F317" s="662" t="s">
        <v>3907</v>
      </c>
      <c r="G317" s="662" t="s">
        <v>3736</v>
      </c>
      <c r="H317" s="663">
        <v>10.247999999999999</v>
      </c>
    </row>
    <row r="318" spans="1:8" customFormat="1" ht="15" x14ac:dyDescent="0.25">
      <c r="A318" s="659" t="s">
        <v>3737</v>
      </c>
      <c r="B318" s="660" t="s">
        <v>1114</v>
      </c>
      <c r="C318" s="660" t="s">
        <v>1134</v>
      </c>
      <c r="D318" s="660" t="s">
        <v>3502</v>
      </c>
      <c r="E318" s="661" t="s">
        <v>1116</v>
      </c>
      <c r="F318" s="662" t="s">
        <v>3907</v>
      </c>
      <c r="G318" s="662" t="s">
        <v>3739</v>
      </c>
      <c r="H318" s="663">
        <v>8.3279999999999994</v>
      </c>
    </row>
    <row r="319" spans="1:8" customFormat="1" ht="15.75" thickBot="1" x14ac:dyDescent="0.3">
      <c r="A319" s="673" t="s">
        <v>4093</v>
      </c>
      <c r="B319" s="674" t="s">
        <v>3702</v>
      </c>
      <c r="C319" s="674" t="s">
        <v>1229</v>
      </c>
      <c r="D319" s="674" t="s">
        <v>1175</v>
      </c>
      <c r="E319" s="675" t="s">
        <v>56</v>
      </c>
      <c r="F319" s="676" t="s">
        <v>3711</v>
      </c>
      <c r="G319" s="676" t="s">
        <v>4094</v>
      </c>
      <c r="H319" s="677">
        <v>280</v>
      </c>
    </row>
    <row r="320" spans="1:8" customFormat="1" ht="15.75" thickTop="1" x14ac:dyDescent="0.25">
      <c r="A320" s="665"/>
      <c r="B320" s="666"/>
      <c r="C320" s="666"/>
      <c r="D320" s="666"/>
      <c r="E320" s="666"/>
      <c r="F320" s="666"/>
      <c r="G320" s="666"/>
      <c r="H320" s="667"/>
    </row>
    <row r="321" spans="1:8" customFormat="1" ht="15" x14ac:dyDescent="0.25">
      <c r="A321" s="668" t="s">
        <v>3457</v>
      </c>
      <c r="B321" s="669" t="s">
        <v>3697</v>
      </c>
      <c r="C321" s="669" t="s">
        <v>3460</v>
      </c>
      <c r="D321" s="669" t="s">
        <v>3462</v>
      </c>
      <c r="E321" s="670" t="s">
        <v>69</v>
      </c>
      <c r="F321" s="671" t="s">
        <v>63</v>
      </c>
      <c r="G321" s="671" t="s">
        <v>3720</v>
      </c>
      <c r="H321" s="672" t="s">
        <v>453</v>
      </c>
    </row>
    <row r="322" spans="1:8" s="658" customFormat="1" ht="33.75" x14ac:dyDescent="0.25">
      <c r="A322" s="653" t="s">
        <v>3591</v>
      </c>
      <c r="B322" s="654" t="s">
        <v>3702</v>
      </c>
      <c r="C322" s="654" t="s">
        <v>878</v>
      </c>
      <c r="D322" s="654" t="s">
        <v>3502</v>
      </c>
      <c r="E322" s="655" t="s">
        <v>56</v>
      </c>
      <c r="F322" s="656">
        <v>1</v>
      </c>
      <c r="G322" s="656" t="s">
        <v>4095</v>
      </c>
      <c r="H322" s="657" t="s">
        <v>4095</v>
      </c>
    </row>
    <row r="323" spans="1:8" customFormat="1" ht="23.25" thickBot="1" x14ac:dyDescent="0.3">
      <c r="A323" s="673" t="s">
        <v>4096</v>
      </c>
      <c r="B323" s="674" t="s">
        <v>3702</v>
      </c>
      <c r="C323" s="674" t="s">
        <v>4097</v>
      </c>
      <c r="D323" s="674" t="s">
        <v>1175</v>
      </c>
      <c r="E323" s="675" t="s">
        <v>56</v>
      </c>
      <c r="F323" s="676" t="s">
        <v>3711</v>
      </c>
      <c r="G323" s="676" t="s">
        <v>4095</v>
      </c>
      <c r="H323" s="677">
        <v>6900</v>
      </c>
    </row>
    <row r="324" spans="1:8" customFormat="1" ht="15.75" thickTop="1" x14ac:dyDescent="0.25">
      <c r="A324" s="665"/>
      <c r="B324" s="666"/>
      <c r="C324" s="666"/>
      <c r="D324" s="666"/>
      <c r="E324" s="666"/>
      <c r="F324" s="666"/>
      <c r="G324" s="666"/>
      <c r="H324" s="667"/>
    </row>
    <row r="325" spans="1:8" customFormat="1" ht="15" x14ac:dyDescent="0.25">
      <c r="A325" s="668" t="s">
        <v>3457</v>
      </c>
      <c r="B325" s="669" t="s">
        <v>3697</v>
      </c>
      <c r="C325" s="669" t="s">
        <v>3460</v>
      </c>
      <c r="D325" s="669" t="s">
        <v>3462</v>
      </c>
      <c r="E325" s="670" t="s">
        <v>69</v>
      </c>
      <c r="F325" s="671" t="s">
        <v>63</v>
      </c>
      <c r="G325" s="671" t="s">
        <v>3720</v>
      </c>
      <c r="H325" s="672" t="s">
        <v>453</v>
      </c>
    </row>
    <row r="326" spans="1:8" s="658" customFormat="1" ht="33.75" x14ac:dyDescent="0.25">
      <c r="A326" s="653" t="s">
        <v>4098</v>
      </c>
      <c r="B326" s="654" t="s">
        <v>3702</v>
      </c>
      <c r="C326" s="654" t="s">
        <v>3143</v>
      </c>
      <c r="D326" s="654" t="s">
        <v>3500</v>
      </c>
      <c r="E326" s="655" t="s">
        <v>106</v>
      </c>
      <c r="F326" s="656">
        <v>1</v>
      </c>
      <c r="G326" s="656" t="s">
        <v>4099</v>
      </c>
      <c r="H326" s="657" t="s">
        <v>4099</v>
      </c>
    </row>
    <row r="327" spans="1:8" customFormat="1" ht="15" x14ac:dyDescent="0.25">
      <c r="A327" s="659" t="s">
        <v>3735</v>
      </c>
      <c r="B327" s="660" t="s">
        <v>1114</v>
      </c>
      <c r="C327" s="660" t="s">
        <v>1133</v>
      </c>
      <c r="D327" s="660" t="s">
        <v>3502</v>
      </c>
      <c r="E327" s="661" t="s">
        <v>1116</v>
      </c>
      <c r="F327" s="662" t="s">
        <v>4100</v>
      </c>
      <c r="G327" s="662" t="s">
        <v>3736</v>
      </c>
      <c r="H327" s="663">
        <v>28.984759999999998</v>
      </c>
    </row>
    <row r="328" spans="1:8" customFormat="1" ht="15" x14ac:dyDescent="0.25">
      <c r="A328" s="659" t="s">
        <v>3737</v>
      </c>
      <c r="B328" s="660" t="s">
        <v>1114</v>
      </c>
      <c r="C328" s="660" t="s">
        <v>1134</v>
      </c>
      <c r="D328" s="660" t="s">
        <v>3502</v>
      </c>
      <c r="E328" s="661" t="s">
        <v>1116</v>
      </c>
      <c r="F328" s="662" t="s">
        <v>4101</v>
      </c>
      <c r="G328" s="662" t="s">
        <v>3739</v>
      </c>
      <c r="H328" s="663">
        <v>11.770240000000001</v>
      </c>
    </row>
    <row r="329" spans="1:8" customFormat="1" ht="15" x14ac:dyDescent="0.25">
      <c r="A329" s="659" t="s">
        <v>3888</v>
      </c>
      <c r="B329" s="660" t="s">
        <v>1114</v>
      </c>
      <c r="C329" s="660" t="s">
        <v>1162</v>
      </c>
      <c r="D329" s="660" t="s">
        <v>3502</v>
      </c>
      <c r="E329" s="661" t="s">
        <v>273</v>
      </c>
      <c r="F329" s="662" t="s">
        <v>3864</v>
      </c>
      <c r="G329" s="662" t="s">
        <v>3889</v>
      </c>
      <c r="H329" s="663">
        <v>3.9736000000000002</v>
      </c>
    </row>
    <row r="330" spans="1:8" customFormat="1" ht="23.25" thickBot="1" x14ac:dyDescent="0.3">
      <c r="A330" s="673" t="s">
        <v>4102</v>
      </c>
      <c r="B330" s="674" t="s">
        <v>3702</v>
      </c>
      <c r="C330" s="674" t="s">
        <v>3143</v>
      </c>
      <c r="D330" s="674" t="s">
        <v>1175</v>
      </c>
      <c r="E330" s="675" t="s">
        <v>106</v>
      </c>
      <c r="F330" s="676" t="s">
        <v>3711</v>
      </c>
      <c r="G330" s="676" t="s">
        <v>4094</v>
      </c>
      <c r="H330" s="677">
        <v>280</v>
      </c>
    </row>
    <row r="331" spans="1:8" customFormat="1" ht="15.75" thickTop="1" x14ac:dyDescent="0.25">
      <c r="A331" s="665"/>
      <c r="B331" s="666"/>
      <c r="C331" s="666"/>
      <c r="D331" s="666"/>
      <c r="E331" s="666"/>
      <c r="F331" s="666"/>
      <c r="G331" s="666"/>
      <c r="H331" s="667"/>
    </row>
    <row r="332" spans="1:8" customFormat="1" ht="15" x14ac:dyDescent="0.25">
      <c r="A332" s="668" t="s">
        <v>3457</v>
      </c>
      <c r="B332" s="669" t="s">
        <v>3697</v>
      </c>
      <c r="C332" s="669" t="s">
        <v>3460</v>
      </c>
      <c r="D332" s="669" t="s">
        <v>3462</v>
      </c>
      <c r="E332" s="670" t="s">
        <v>69</v>
      </c>
      <c r="F332" s="671" t="s">
        <v>63</v>
      </c>
      <c r="G332" s="671" t="s">
        <v>3720</v>
      </c>
      <c r="H332" s="672" t="s">
        <v>453</v>
      </c>
    </row>
    <row r="333" spans="1:8" s="658" customFormat="1" ht="22.5" x14ac:dyDescent="0.25">
      <c r="A333" s="653" t="s">
        <v>3577</v>
      </c>
      <c r="B333" s="654" t="s">
        <v>3702</v>
      </c>
      <c r="C333" s="654" t="s">
        <v>4103</v>
      </c>
      <c r="D333" s="654" t="s">
        <v>3502</v>
      </c>
      <c r="E333" s="655" t="s">
        <v>56</v>
      </c>
      <c r="F333" s="656">
        <v>1</v>
      </c>
      <c r="G333" s="656" t="s">
        <v>4104</v>
      </c>
      <c r="H333" s="657" t="s">
        <v>4104</v>
      </c>
    </row>
    <row r="334" spans="1:8" customFormat="1" ht="33.75" x14ac:dyDescent="0.25">
      <c r="A334" s="659" t="s">
        <v>4105</v>
      </c>
      <c r="B334" s="660" t="s">
        <v>1114</v>
      </c>
      <c r="C334" s="660" t="s">
        <v>1250</v>
      </c>
      <c r="D334" s="660" t="s">
        <v>3572</v>
      </c>
      <c r="E334" s="661" t="s">
        <v>106</v>
      </c>
      <c r="F334" s="662" t="s">
        <v>4106</v>
      </c>
      <c r="G334" s="662" t="s">
        <v>4107</v>
      </c>
      <c r="H334" s="663">
        <v>643.54840000000002</v>
      </c>
    </row>
    <row r="335" spans="1:8" customFormat="1" ht="33.75" x14ac:dyDescent="0.25">
      <c r="A335" s="659" t="s">
        <v>4108</v>
      </c>
      <c r="B335" s="660" t="s">
        <v>1114</v>
      </c>
      <c r="C335" s="660" t="s">
        <v>781</v>
      </c>
      <c r="D335" s="660" t="s">
        <v>3489</v>
      </c>
      <c r="E335" s="661" t="s">
        <v>106</v>
      </c>
      <c r="F335" s="662" t="s">
        <v>4109</v>
      </c>
      <c r="G335" s="662" t="s">
        <v>3933</v>
      </c>
      <c r="H335" s="663">
        <v>1934.7376000000002</v>
      </c>
    </row>
    <row r="336" spans="1:8" customFormat="1" ht="33.75" x14ac:dyDescent="0.25">
      <c r="A336" s="659" t="s">
        <v>4110</v>
      </c>
      <c r="B336" s="660" t="s">
        <v>1114</v>
      </c>
      <c r="C336" s="660" t="s">
        <v>2738</v>
      </c>
      <c r="D336" s="660" t="s">
        <v>3489</v>
      </c>
      <c r="E336" s="661" t="s">
        <v>106</v>
      </c>
      <c r="F336" s="662" t="s">
        <v>4109</v>
      </c>
      <c r="G336" s="662" t="s">
        <v>4111</v>
      </c>
      <c r="H336" s="663">
        <v>30.003200000000003</v>
      </c>
    </row>
    <row r="337" spans="1:8" customFormat="1" ht="33.75" x14ac:dyDescent="0.25">
      <c r="A337" s="659" t="s">
        <v>4112</v>
      </c>
      <c r="B337" s="660" t="s">
        <v>1114</v>
      </c>
      <c r="C337" s="660" t="s">
        <v>533</v>
      </c>
      <c r="D337" s="660" t="s">
        <v>3482</v>
      </c>
      <c r="E337" s="661" t="s">
        <v>92</v>
      </c>
      <c r="F337" s="662" t="s">
        <v>4113</v>
      </c>
      <c r="G337" s="662" t="s">
        <v>4114</v>
      </c>
      <c r="H337" s="663">
        <v>12.0594</v>
      </c>
    </row>
    <row r="338" spans="1:8" customFormat="1" ht="33.75" x14ac:dyDescent="0.25">
      <c r="A338" s="659" t="s">
        <v>4115</v>
      </c>
      <c r="B338" s="660" t="s">
        <v>1114</v>
      </c>
      <c r="C338" s="660" t="s">
        <v>4116</v>
      </c>
      <c r="D338" s="660" t="s">
        <v>3489</v>
      </c>
      <c r="E338" s="661" t="s">
        <v>106</v>
      </c>
      <c r="F338" s="662" t="s">
        <v>4109</v>
      </c>
      <c r="G338" s="662" t="s">
        <v>4117</v>
      </c>
      <c r="H338" s="663">
        <v>266.51279999999997</v>
      </c>
    </row>
    <row r="339" spans="1:8" customFormat="1" ht="15.75" thickBot="1" x14ac:dyDescent="0.3">
      <c r="A339" s="673" t="s">
        <v>4118</v>
      </c>
      <c r="B339" s="674" t="s">
        <v>3702</v>
      </c>
      <c r="C339" s="674" t="s">
        <v>1251</v>
      </c>
      <c r="D339" s="674" t="s">
        <v>1175</v>
      </c>
      <c r="E339" s="675" t="s">
        <v>56</v>
      </c>
      <c r="F339" s="676" t="s">
        <v>3711</v>
      </c>
      <c r="G339" s="676" t="s">
        <v>4119</v>
      </c>
      <c r="H339" s="677">
        <v>3870</v>
      </c>
    </row>
    <row r="340" spans="1:8" customFormat="1" ht="15.75" thickTop="1" x14ac:dyDescent="0.25">
      <c r="A340" s="665"/>
      <c r="B340" s="666"/>
      <c r="C340" s="666"/>
      <c r="D340" s="666"/>
      <c r="E340" s="666"/>
      <c r="F340" s="666"/>
      <c r="G340" s="666"/>
      <c r="H340" s="667"/>
    </row>
    <row r="341" spans="1:8" customFormat="1" ht="15" x14ac:dyDescent="0.25">
      <c r="A341" s="668" t="s">
        <v>3457</v>
      </c>
      <c r="B341" s="669" t="s">
        <v>3697</v>
      </c>
      <c r="C341" s="669" t="s">
        <v>3460</v>
      </c>
      <c r="D341" s="669" t="s">
        <v>3462</v>
      </c>
      <c r="E341" s="670" t="s">
        <v>69</v>
      </c>
      <c r="F341" s="671" t="s">
        <v>63</v>
      </c>
      <c r="G341" s="671" t="s">
        <v>3720</v>
      </c>
      <c r="H341" s="672" t="s">
        <v>453</v>
      </c>
    </row>
    <row r="342" spans="1:8" s="658" customFormat="1" ht="22.5" x14ac:dyDescent="0.25">
      <c r="A342" s="653" t="s">
        <v>3589</v>
      </c>
      <c r="B342" s="654" t="s">
        <v>3702</v>
      </c>
      <c r="C342" s="654" t="s">
        <v>844</v>
      </c>
      <c r="D342" s="654" t="s">
        <v>3572</v>
      </c>
      <c r="E342" s="655" t="s">
        <v>99</v>
      </c>
      <c r="F342" s="656">
        <v>1</v>
      </c>
      <c r="G342" s="656" t="s">
        <v>4120</v>
      </c>
      <c r="H342" s="657" t="s">
        <v>4120</v>
      </c>
    </row>
    <row r="343" spans="1:8" customFormat="1" ht="22.5" x14ac:dyDescent="0.25">
      <c r="A343" s="659" t="s">
        <v>4121</v>
      </c>
      <c r="B343" s="660" t="s">
        <v>1114</v>
      </c>
      <c r="C343" s="660" t="s">
        <v>503</v>
      </c>
      <c r="D343" s="660" t="s">
        <v>3498</v>
      </c>
      <c r="E343" s="661" t="s">
        <v>273</v>
      </c>
      <c r="F343" s="662" t="s">
        <v>3923</v>
      </c>
      <c r="G343" s="662" t="s">
        <v>4122</v>
      </c>
      <c r="H343" s="663">
        <v>4.3887999999999998</v>
      </c>
    </row>
    <row r="344" spans="1:8" customFormat="1" ht="33.75" x14ac:dyDescent="0.25">
      <c r="A344" s="659" t="s">
        <v>4123</v>
      </c>
      <c r="B344" s="660" t="s">
        <v>1114</v>
      </c>
      <c r="C344" s="660" t="s">
        <v>4124</v>
      </c>
      <c r="D344" s="660" t="s">
        <v>3572</v>
      </c>
      <c r="E344" s="661" t="s">
        <v>106</v>
      </c>
      <c r="F344" s="662" t="s">
        <v>4071</v>
      </c>
      <c r="G344" s="662" t="s">
        <v>4125</v>
      </c>
      <c r="H344" s="663">
        <v>179.232</v>
      </c>
    </row>
    <row r="345" spans="1:8" customFormat="1" ht="22.5" x14ac:dyDescent="0.25">
      <c r="A345" s="659" t="s">
        <v>4126</v>
      </c>
      <c r="B345" s="660" t="s">
        <v>1114</v>
      </c>
      <c r="C345" s="660" t="s">
        <v>4127</v>
      </c>
      <c r="D345" s="660" t="s">
        <v>3482</v>
      </c>
      <c r="E345" s="661" t="s">
        <v>273</v>
      </c>
      <c r="F345" s="662" t="s">
        <v>4128</v>
      </c>
      <c r="G345" s="662" t="s">
        <v>4129</v>
      </c>
      <c r="H345" s="663">
        <v>29.764899999999997</v>
      </c>
    </row>
    <row r="346" spans="1:8" customFormat="1" ht="22.5" x14ac:dyDescent="0.25">
      <c r="A346" s="659" t="s">
        <v>4130</v>
      </c>
      <c r="B346" s="660" t="s">
        <v>1114</v>
      </c>
      <c r="C346" s="660" t="s">
        <v>540</v>
      </c>
      <c r="D346" s="660" t="s">
        <v>3482</v>
      </c>
      <c r="E346" s="661" t="s">
        <v>273</v>
      </c>
      <c r="F346" s="662" t="s">
        <v>4128</v>
      </c>
      <c r="G346" s="662" t="s">
        <v>4131</v>
      </c>
      <c r="H346" s="663">
        <v>15.7608</v>
      </c>
    </row>
    <row r="347" spans="1:8" customFormat="1" ht="22.5" x14ac:dyDescent="0.25">
      <c r="A347" s="659" t="s">
        <v>4132</v>
      </c>
      <c r="B347" s="660" t="s">
        <v>1114</v>
      </c>
      <c r="C347" s="660" t="s">
        <v>1272</v>
      </c>
      <c r="D347" s="660" t="s">
        <v>3482</v>
      </c>
      <c r="E347" s="661" t="s">
        <v>92</v>
      </c>
      <c r="F347" s="662" t="s">
        <v>4133</v>
      </c>
      <c r="G347" s="662" t="s">
        <v>4134</v>
      </c>
      <c r="H347" s="663">
        <v>13.206599999999998</v>
      </c>
    </row>
    <row r="348" spans="1:8" customFormat="1" ht="15.75" thickBot="1" x14ac:dyDescent="0.3">
      <c r="A348" s="659" t="s">
        <v>4135</v>
      </c>
      <c r="B348" s="660" t="s">
        <v>1114</v>
      </c>
      <c r="C348" s="660" t="s">
        <v>1273</v>
      </c>
      <c r="D348" s="660" t="s">
        <v>3502</v>
      </c>
      <c r="E348" s="661" t="s">
        <v>106</v>
      </c>
      <c r="F348" s="662" t="s">
        <v>4136</v>
      </c>
      <c r="G348" s="662" t="s">
        <v>4137</v>
      </c>
      <c r="H348" s="664">
        <v>6.72</v>
      </c>
    </row>
    <row r="349" spans="1:8" customFormat="1" ht="15.75" thickTop="1" x14ac:dyDescent="0.25">
      <c r="A349" s="665"/>
      <c r="B349" s="666"/>
      <c r="C349" s="666"/>
      <c r="D349" s="666"/>
      <c r="E349" s="666"/>
      <c r="F349" s="666"/>
      <c r="G349" s="666"/>
      <c r="H349" s="667"/>
    </row>
    <row r="350" spans="1:8" customFormat="1" ht="15" x14ac:dyDescent="0.25">
      <c r="A350" s="668" t="s">
        <v>3457</v>
      </c>
      <c r="B350" s="669" t="s">
        <v>3697</v>
      </c>
      <c r="C350" s="669" t="s">
        <v>3460</v>
      </c>
      <c r="D350" s="669" t="s">
        <v>3462</v>
      </c>
      <c r="E350" s="670" t="s">
        <v>69</v>
      </c>
      <c r="F350" s="671" t="s">
        <v>63</v>
      </c>
      <c r="G350" s="671" t="s">
        <v>3720</v>
      </c>
      <c r="H350" s="672" t="s">
        <v>453</v>
      </c>
    </row>
    <row r="351" spans="1:8" s="658" customFormat="1" ht="22.5" x14ac:dyDescent="0.25">
      <c r="A351" s="653" t="s">
        <v>3561</v>
      </c>
      <c r="B351" s="654" t="s">
        <v>3702</v>
      </c>
      <c r="C351" s="654" t="s">
        <v>4138</v>
      </c>
      <c r="D351" s="654" t="s">
        <v>3562</v>
      </c>
      <c r="E351" s="655" t="s">
        <v>99</v>
      </c>
      <c r="F351" s="656">
        <v>1</v>
      </c>
      <c r="G351" s="656" t="s">
        <v>4139</v>
      </c>
      <c r="H351" s="657" t="s">
        <v>4139</v>
      </c>
    </row>
    <row r="352" spans="1:8" customFormat="1" ht="22.5" x14ac:dyDescent="0.25">
      <c r="A352" s="659" t="s">
        <v>4140</v>
      </c>
      <c r="B352" s="660" t="s">
        <v>1114</v>
      </c>
      <c r="C352" s="660" t="s">
        <v>2592</v>
      </c>
      <c r="D352" s="660" t="s">
        <v>3482</v>
      </c>
      <c r="E352" s="661" t="s">
        <v>106</v>
      </c>
      <c r="F352" s="662" t="s">
        <v>4141</v>
      </c>
      <c r="G352" s="662" t="s">
        <v>4142</v>
      </c>
      <c r="H352" s="663">
        <v>1.3913599999999999</v>
      </c>
    </row>
    <row r="353" spans="1:8" customFormat="1" ht="22.5" x14ac:dyDescent="0.25">
      <c r="A353" s="659" t="s">
        <v>4143</v>
      </c>
      <c r="B353" s="660" t="s">
        <v>1114</v>
      </c>
      <c r="C353" s="660" t="s">
        <v>2593</v>
      </c>
      <c r="D353" s="660" t="s">
        <v>3482</v>
      </c>
      <c r="E353" s="661" t="s">
        <v>273</v>
      </c>
      <c r="F353" s="662" t="s">
        <v>3923</v>
      </c>
      <c r="G353" s="662" t="s">
        <v>4144</v>
      </c>
      <c r="H353" s="663">
        <v>36.438400000000001</v>
      </c>
    </row>
    <row r="354" spans="1:8" customFormat="1" ht="22.5" x14ac:dyDescent="0.25">
      <c r="A354" s="659" t="s">
        <v>4145</v>
      </c>
      <c r="B354" s="660" t="s">
        <v>1114</v>
      </c>
      <c r="C354" s="660" t="s">
        <v>4146</v>
      </c>
      <c r="D354" s="660" t="s">
        <v>3482</v>
      </c>
      <c r="E354" s="661" t="s">
        <v>273</v>
      </c>
      <c r="F354" s="662" t="s">
        <v>4147</v>
      </c>
      <c r="G354" s="662" t="s">
        <v>4148</v>
      </c>
      <c r="H354" s="663">
        <v>6.4784559999999995</v>
      </c>
    </row>
    <row r="355" spans="1:8" customFormat="1" ht="33.75" x14ac:dyDescent="0.25">
      <c r="A355" s="659" t="s">
        <v>4149</v>
      </c>
      <c r="B355" s="660" t="s">
        <v>1114</v>
      </c>
      <c r="C355" s="660" t="s">
        <v>4150</v>
      </c>
      <c r="D355" s="660" t="s">
        <v>3482</v>
      </c>
      <c r="E355" s="661" t="s">
        <v>92</v>
      </c>
      <c r="F355" s="662" t="s">
        <v>3946</v>
      </c>
      <c r="G355" s="662" t="s">
        <v>3787</v>
      </c>
      <c r="H355" s="663">
        <v>3.7640000000000002</v>
      </c>
    </row>
    <row r="356" spans="1:8" customFormat="1" ht="33.75" x14ac:dyDescent="0.25">
      <c r="A356" s="659" t="s">
        <v>4151</v>
      </c>
      <c r="B356" s="660" t="s">
        <v>1114</v>
      </c>
      <c r="C356" s="660" t="s">
        <v>2594</v>
      </c>
      <c r="D356" s="660" t="s">
        <v>3572</v>
      </c>
      <c r="E356" s="661" t="s">
        <v>106</v>
      </c>
      <c r="F356" s="662" t="s">
        <v>3946</v>
      </c>
      <c r="G356" s="662" t="s">
        <v>4152</v>
      </c>
      <c r="H356" s="663">
        <v>36.160000000000004</v>
      </c>
    </row>
    <row r="357" spans="1:8" customFormat="1" ht="45" x14ac:dyDescent="0.25">
      <c r="A357" s="659" t="s">
        <v>4153</v>
      </c>
      <c r="B357" s="660" t="s">
        <v>1114</v>
      </c>
      <c r="C357" s="660" t="s">
        <v>771</v>
      </c>
      <c r="D357" s="660" t="s">
        <v>3489</v>
      </c>
      <c r="E357" s="661" t="s">
        <v>106</v>
      </c>
      <c r="F357" s="662" t="s">
        <v>4154</v>
      </c>
      <c r="G357" s="662" t="s">
        <v>4155</v>
      </c>
      <c r="H357" s="663">
        <v>18.472000000000001</v>
      </c>
    </row>
    <row r="358" spans="1:8" customFormat="1" ht="22.5" x14ac:dyDescent="0.25">
      <c r="A358" s="659" t="s">
        <v>4121</v>
      </c>
      <c r="B358" s="660" t="s">
        <v>1114</v>
      </c>
      <c r="C358" s="660" t="s">
        <v>503</v>
      </c>
      <c r="D358" s="660" t="s">
        <v>3498</v>
      </c>
      <c r="E358" s="661" t="s">
        <v>273</v>
      </c>
      <c r="F358" s="662" t="s">
        <v>3923</v>
      </c>
      <c r="G358" s="662" t="s">
        <v>4122</v>
      </c>
      <c r="H358" s="663">
        <v>4.3887999999999998</v>
      </c>
    </row>
    <row r="359" spans="1:8" customFormat="1" ht="33.75" x14ac:dyDescent="0.25">
      <c r="A359" s="659" t="s">
        <v>4156</v>
      </c>
      <c r="B359" s="660" t="s">
        <v>1114</v>
      </c>
      <c r="C359" s="660" t="s">
        <v>4157</v>
      </c>
      <c r="D359" s="660" t="s">
        <v>3489</v>
      </c>
      <c r="E359" s="661" t="s">
        <v>106</v>
      </c>
      <c r="F359" s="662" t="s">
        <v>4154</v>
      </c>
      <c r="G359" s="662" t="s">
        <v>4158</v>
      </c>
      <c r="H359" s="663">
        <v>4.8159999999999998</v>
      </c>
    </row>
    <row r="360" spans="1:8" customFormat="1" ht="33.75" x14ac:dyDescent="0.25">
      <c r="A360" s="659" t="s">
        <v>4159</v>
      </c>
      <c r="B360" s="660" t="s">
        <v>1114</v>
      </c>
      <c r="C360" s="660" t="s">
        <v>2595</v>
      </c>
      <c r="D360" s="660" t="s">
        <v>3500</v>
      </c>
      <c r="E360" s="661" t="s">
        <v>106</v>
      </c>
      <c r="F360" s="662" t="s">
        <v>3980</v>
      </c>
      <c r="G360" s="662" t="s">
        <v>4160</v>
      </c>
      <c r="H360" s="663">
        <v>462.58200000000005</v>
      </c>
    </row>
    <row r="361" spans="1:8" customFormat="1" ht="15" x14ac:dyDescent="0.25">
      <c r="A361" s="659" t="s">
        <v>3735</v>
      </c>
      <c r="B361" s="660" t="s">
        <v>1114</v>
      </c>
      <c r="C361" s="660" t="s">
        <v>1133</v>
      </c>
      <c r="D361" s="660" t="s">
        <v>3502</v>
      </c>
      <c r="E361" s="661" t="s">
        <v>1116</v>
      </c>
      <c r="F361" s="662" t="s">
        <v>3946</v>
      </c>
      <c r="G361" s="662" t="s">
        <v>3736</v>
      </c>
      <c r="H361" s="663">
        <v>6.8319999999999999</v>
      </c>
    </row>
    <row r="362" spans="1:8" customFormat="1" ht="15" x14ac:dyDescent="0.25">
      <c r="A362" s="659" t="s">
        <v>3737</v>
      </c>
      <c r="B362" s="660" t="s">
        <v>1114</v>
      </c>
      <c r="C362" s="660" t="s">
        <v>1134</v>
      </c>
      <c r="D362" s="660" t="s">
        <v>3502</v>
      </c>
      <c r="E362" s="661" t="s">
        <v>1116</v>
      </c>
      <c r="F362" s="662" t="s">
        <v>3965</v>
      </c>
      <c r="G362" s="662" t="s">
        <v>3739</v>
      </c>
      <c r="H362" s="663">
        <v>6.6623999999999999</v>
      </c>
    </row>
    <row r="363" spans="1:8" customFormat="1" ht="15" x14ac:dyDescent="0.25">
      <c r="A363" s="673" t="s">
        <v>3749</v>
      </c>
      <c r="B363" s="674" t="s">
        <v>1114</v>
      </c>
      <c r="C363" s="674" t="s">
        <v>1206</v>
      </c>
      <c r="D363" s="674" t="s">
        <v>1175</v>
      </c>
      <c r="E363" s="675" t="s">
        <v>273</v>
      </c>
      <c r="F363" s="676" t="s">
        <v>4161</v>
      </c>
      <c r="G363" s="676" t="s">
        <v>3751</v>
      </c>
      <c r="H363" s="678">
        <v>0.22589999999999999</v>
      </c>
    </row>
    <row r="364" spans="1:8" customFormat="1" ht="15.75" thickBot="1" x14ac:dyDescent="0.3">
      <c r="A364" s="673" t="s">
        <v>4011</v>
      </c>
      <c r="B364" s="674" t="s">
        <v>1114</v>
      </c>
      <c r="C364" s="674" t="s">
        <v>1207</v>
      </c>
      <c r="D364" s="674" t="s">
        <v>1175</v>
      </c>
      <c r="E364" s="675" t="s">
        <v>92</v>
      </c>
      <c r="F364" s="676" t="s">
        <v>4162</v>
      </c>
      <c r="G364" s="676" t="s">
        <v>4013</v>
      </c>
      <c r="H364" s="677">
        <v>0.52639999999999998</v>
      </c>
    </row>
    <row r="365" spans="1:8" customFormat="1" ht="15.75" thickTop="1" x14ac:dyDescent="0.25">
      <c r="A365" s="665"/>
      <c r="B365" s="666"/>
      <c r="C365" s="666"/>
      <c r="D365" s="666"/>
      <c r="E365" s="666"/>
      <c r="F365" s="666"/>
      <c r="G365" s="666"/>
      <c r="H365" s="667"/>
    </row>
    <row r="366" spans="1:8" customFormat="1" ht="15" x14ac:dyDescent="0.25">
      <c r="A366" s="668" t="s">
        <v>3457</v>
      </c>
      <c r="B366" s="669" t="s">
        <v>3697</v>
      </c>
      <c r="C366" s="669" t="s">
        <v>3460</v>
      </c>
      <c r="D366" s="669" t="s">
        <v>3462</v>
      </c>
      <c r="E366" s="670" t="s">
        <v>69</v>
      </c>
      <c r="F366" s="671" t="s">
        <v>63</v>
      </c>
      <c r="G366" s="671" t="s">
        <v>3720</v>
      </c>
      <c r="H366" s="672" t="s">
        <v>453</v>
      </c>
    </row>
    <row r="367" spans="1:8" s="658" customFormat="1" ht="33.75" x14ac:dyDescent="0.25">
      <c r="A367" s="653" t="s">
        <v>3499</v>
      </c>
      <c r="B367" s="654" t="s">
        <v>3702</v>
      </c>
      <c r="C367" s="654" t="s">
        <v>813</v>
      </c>
      <c r="D367" s="654" t="s">
        <v>3500</v>
      </c>
      <c r="E367" s="655" t="s">
        <v>56</v>
      </c>
      <c r="F367" s="656">
        <v>1</v>
      </c>
      <c r="G367" s="656" t="s">
        <v>4163</v>
      </c>
      <c r="H367" s="657" t="s">
        <v>4163</v>
      </c>
    </row>
    <row r="368" spans="1:8" customFormat="1" ht="15" x14ac:dyDescent="0.25">
      <c r="A368" s="659" t="s">
        <v>3735</v>
      </c>
      <c r="B368" s="660" t="s">
        <v>1114</v>
      </c>
      <c r="C368" s="660" t="s">
        <v>1133</v>
      </c>
      <c r="D368" s="660" t="s">
        <v>3502</v>
      </c>
      <c r="E368" s="661" t="s">
        <v>1116</v>
      </c>
      <c r="F368" s="662" t="s">
        <v>4164</v>
      </c>
      <c r="G368" s="662" t="s">
        <v>3736</v>
      </c>
      <c r="H368" s="663">
        <v>55.544159999999991</v>
      </c>
    </row>
    <row r="369" spans="1:8" customFormat="1" ht="15" x14ac:dyDescent="0.25">
      <c r="A369" s="659" t="s">
        <v>3737</v>
      </c>
      <c r="B369" s="660" t="s">
        <v>1114</v>
      </c>
      <c r="C369" s="660" t="s">
        <v>1134</v>
      </c>
      <c r="D369" s="660" t="s">
        <v>3502</v>
      </c>
      <c r="E369" s="661" t="s">
        <v>1116</v>
      </c>
      <c r="F369" s="662" t="s">
        <v>4165</v>
      </c>
      <c r="G369" s="662" t="s">
        <v>3739</v>
      </c>
      <c r="H369" s="663">
        <v>22.56888</v>
      </c>
    </row>
    <row r="370" spans="1:8" customFormat="1" ht="15" x14ac:dyDescent="0.25">
      <c r="A370" s="659" t="s">
        <v>3888</v>
      </c>
      <c r="B370" s="660" t="s">
        <v>1114</v>
      </c>
      <c r="C370" s="660" t="s">
        <v>1162</v>
      </c>
      <c r="D370" s="660" t="s">
        <v>3502</v>
      </c>
      <c r="E370" s="661" t="s">
        <v>273</v>
      </c>
      <c r="F370" s="662" t="s">
        <v>4166</v>
      </c>
      <c r="G370" s="662" t="s">
        <v>3889</v>
      </c>
      <c r="H370" s="663">
        <v>10.728720000000001</v>
      </c>
    </row>
    <row r="371" spans="1:8" customFormat="1" ht="22.5" x14ac:dyDescent="0.25">
      <c r="A371" s="659" t="s">
        <v>4167</v>
      </c>
      <c r="B371" s="660" t="s">
        <v>1114</v>
      </c>
      <c r="C371" s="660" t="s">
        <v>1241</v>
      </c>
      <c r="D371" s="660" t="s">
        <v>3575</v>
      </c>
      <c r="E371" s="661" t="s">
        <v>106</v>
      </c>
      <c r="F371" s="662" t="s">
        <v>4154</v>
      </c>
      <c r="G371" s="662" t="s">
        <v>4168</v>
      </c>
      <c r="H371" s="663">
        <v>124.70400000000001</v>
      </c>
    </row>
    <row r="372" spans="1:8" customFormat="1" ht="15.75" thickBot="1" x14ac:dyDescent="0.3">
      <c r="A372" s="673" t="s">
        <v>4169</v>
      </c>
      <c r="B372" s="674" t="s">
        <v>3702</v>
      </c>
      <c r="C372" s="674" t="s">
        <v>1242</v>
      </c>
      <c r="D372" s="674" t="s">
        <v>1175</v>
      </c>
      <c r="E372" s="675" t="s">
        <v>56</v>
      </c>
      <c r="F372" s="676" t="s">
        <v>3711</v>
      </c>
      <c r="G372" s="676" t="s">
        <v>4170</v>
      </c>
      <c r="H372" s="677">
        <v>2310</v>
      </c>
    </row>
    <row r="373" spans="1:8" customFormat="1" ht="15.75" thickTop="1" x14ac:dyDescent="0.25">
      <c r="A373" s="665"/>
      <c r="B373" s="666"/>
      <c r="C373" s="666"/>
      <c r="D373" s="666"/>
      <c r="E373" s="666"/>
      <c r="F373" s="666"/>
      <c r="G373" s="666"/>
      <c r="H373" s="667"/>
    </row>
    <row r="374" spans="1:8" customFormat="1" ht="15" x14ac:dyDescent="0.25">
      <c r="A374" s="668" t="s">
        <v>3457</v>
      </c>
      <c r="B374" s="669" t="s">
        <v>3697</v>
      </c>
      <c r="C374" s="669" t="s">
        <v>3460</v>
      </c>
      <c r="D374" s="669" t="s">
        <v>3462</v>
      </c>
      <c r="E374" s="670" t="s">
        <v>69</v>
      </c>
      <c r="F374" s="671" t="s">
        <v>63</v>
      </c>
      <c r="G374" s="671" t="s">
        <v>3720</v>
      </c>
      <c r="H374" s="672" t="s">
        <v>453</v>
      </c>
    </row>
    <row r="375" spans="1:8" s="658" customFormat="1" ht="22.5" x14ac:dyDescent="0.25">
      <c r="A375" s="653" t="s">
        <v>3514</v>
      </c>
      <c r="B375" s="654" t="s">
        <v>3702</v>
      </c>
      <c r="C375" s="654" t="s">
        <v>801</v>
      </c>
      <c r="D375" s="654" t="s">
        <v>3502</v>
      </c>
      <c r="E375" s="655" t="s">
        <v>56</v>
      </c>
      <c r="F375" s="656">
        <v>1</v>
      </c>
      <c r="G375" s="656" t="s">
        <v>4171</v>
      </c>
      <c r="H375" s="657" t="s">
        <v>4171</v>
      </c>
    </row>
    <row r="376" spans="1:8" customFormat="1" ht="15" x14ac:dyDescent="0.25">
      <c r="A376" s="659" t="s">
        <v>4172</v>
      </c>
      <c r="B376" s="660" t="s">
        <v>1114</v>
      </c>
      <c r="C376" s="660" t="s">
        <v>1260</v>
      </c>
      <c r="D376" s="660" t="s">
        <v>3502</v>
      </c>
      <c r="E376" s="661" t="s">
        <v>1116</v>
      </c>
      <c r="F376" s="662" t="s">
        <v>3711</v>
      </c>
      <c r="G376" s="662" t="s">
        <v>4173</v>
      </c>
      <c r="H376" s="663">
        <v>17.68</v>
      </c>
    </row>
    <row r="377" spans="1:8" customFormat="1" ht="15" x14ac:dyDescent="0.25">
      <c r="A377" s="659" t="s">
        <v>3737</v>
      </c>
      <c r="B377" s="660" t="s">
        <v>1114</v>
      </c>
      <c r="C377" s="660" t="s">
        <v>1134</v>
      </c>
      <c r="D377" s="660" t="s">
        <v>3502</v>
      </c>
      <c r="E377" s="661" t="s">
        <v>1116</v>
      </c>
      <c r="F377" s="662" t="s">
        <v>3826</v>
      </c>
      <c r="G377" s="662" t="s">
        <v>3739</v>
      </c>
      <c r="H377" s="663">
        <v>27.76</v>
      </c>
    </row>
    <row r="378" spans="1:8" customFormat="1" ht="15.75" thickBot="1" x14ac:dyDescent="0.3">
      <c r="A378" s="673" t="s">
        <v>4174</v>
      </c>
      <c r="B378" s="674" t="s">
        <v>3702</v>
      </c>
      <c r="C378" s="674" t="s">
        <v>1261</v>
      </c>
      <c r="D378" s="674" t="s">
        <v>1175</v>
      </c>
      <c r="E378" s="675" t="s">
        <v>56</v>
      </c>
      <c r="F378" s="676" t="s">
        <v>3711</v>
      </c>
      <c r="G378" s="676" t="s">
        <v>4175</v>
      </c>
      <c r="H378" s="677">
        <v>188.24</v>
      </c>
    </row>
    <row r="379" spans="1:8" customFormat="1" ht="15.75" thickTop="1" x14ac:dyDescent="0.25">
      <c r="A379" s="665"/>
      <c r="B379" s="666"/>
      <c r="C379" s="666"/>
      <c r="D379" s="666"/>
      <c r="E379" s="666"/>
      <c r="F379" s="666"/>
      <c r="G379" s="666"/>
      <c r="H379" s="667"/>
    </row>
    <row r="380" spans="1:8" customFormat="1" ht="15" x14ac:dyDescent="0.25">
      <c r="A380" s="668" t="s">
        <v>3457</v>
      </c>
      <c r="B380" s="669" t="s">
        <v>3697</v>
      </c>
      <c r="C380" s="669" t="s">
        <v>3460</v>
      </c>
      <c r="D380" s="669" t="s">
        <v>3462</v>
      </c>
      <c r="E380" s="670" t="s">
        <v>69</v>
      </c>
      <c r="F380" s="671" t="s">
        <v>63</v>
      </c>
      <c r="G380" s="671" t="s">
        <v>3720</v>
      </c>
      <c r="H380" s="672" t="s">
        <v>453</v>
      </c>
    </row>
    <row r="381" spans="1:8" s="658" customFormat="1" ht="22.5" x14ac:dyDescent="0.25">
      <c r="A381" s="653" t="s">
        <v>4176</v>
      </c>
      <c r="B381" s="654" t="s">
        <v>3702</v>
      </c>
      <c r="C381" s="654" t="s">
        <v>4177</v>
      </c>
      <c r="D381" s="654" t="s">
        <v>3562</v>
      </c>
      <c r="E381" s="655" t="s">
        <v>56</v>
      </c>
      <c r="F381" s="656">
        <v>1</v>
      </c>
      <c r="G381" s="656" t="s">
        <v>4178</v>
      </c>
      <c r="H381" s="657" t="s">
        <v>4178</v>
      </c>
    </row>
    <row r="382" spans="1:8" customFormat="1" ht="15" x14ac:dyDescent="0.25">
      <c r="A382" s="659" t="s">
        <v>3737</v>
      </c>
      <c r="B382" s="660" t="s">
        <v>1114</v>
      </c>
      <c r="C382" s="660" t="s">
        <v>1134</v>
      </c>
      <c r="D382" s="660" t="s">
        <v>3502</v>
      </c>
      <c r="E382" s="661" t="s">
        <v>1116</v>
      </c>
      <c r="F382" s="662" t="s">
        <v>3864</v>
      </c>
      <c r="G382" s="662" t="s">
        <v>3739</v>
      </c>
      <c r="H382" s="663">
        <v>0.13880000000000001</v>
      </c>
    </row>
    <row r="383" spans="1:8" customFormat="1" ht="15" x14ac:dyDescent="0.25">
      <c r="A383" s="673" t="s">
        <v>4179</v>
      </c>
      <c r="B383" s="674" t="s">
        <v>1114</v>
      </c>
      <c r="C383" s="674" t="s">
        <v>2653</v>
      </c>
      <c r="D383" s="674" t="s">
        <v>1175</v>
      </c>
      <c r="E383" s="675" t="s">
        <v>273</v>
      </c>
      <c r="F383" s="676" t="s">
        <v>3971</v>
      </c>
      <c r="G383" s="676" t="s">
        <v>4180</v>
      </c>
      <c r="H383" s="678">
        <v>0.31070000000000003</v>
      </c>
    </row>
    <row r="384" spans="1:8" customFormat="1" ht="15" x14ac:dyDescent="0.25">
      <c r="A384" s="673" t="s">
        <v>4181</v>
      </c>
      <c r="B384" s="674" t="s">
        <v>3702</v>
      </c>
      <c r="C384" s="674" t="s">
        <v>2644</v>
      </c>
      <c r="D384" s="674" t="s">
        <v>1175</v>
      </c>
      <c r="E384" s="675" t="s">
        <v>56</v>
      </c>
      <c r="F384" s="676" t="s">
        <v>3711</v>
      </c>
      <c r="G384" s="676" t="s">
        <v>4182</v>
      </c>
      <c r="H384" s="678">
        <v>3</v>
      </c>
    </row>
    <row r="385" spans="1:8" customFormat="1" ht="15" x14ac:dyDescent="0.25">
      <c r="A385" s="673" t="s">
        <v>4183</v>
      </c>
      <c r="B385" s="674" t="s">
        <v>1114</v>
      </c>
      <c r="C385" s="674" t="s">
        <v>2654</v>
      </c>
      <c r="D385" s="674" t="s">
        <v>1175</v>
      </c>
      <c r="E385" s="675" t="s">
        <v>92</v>
      </c>
      <c r="F385" s="676" t="s">
        <v>3971</v>
      </c>
      <c r="G385" s="676" t="s">
        <v>4184</v>
      </c>
      <c r="H385" s="678">
        <v>6.7000000000000002E-3</v>
      </c>
    </row>
    <row r="386" spans="1:8" customFormat="1" ht="15.75" thickBot="1" x14ac:dyDescent="0.3">
      <c r="A386" s="673" t="s">
        <v>4185</v>
      </c>
      <c r="B386" s="674" t="s">
        <v>1114</v>
      </c>
      <c r="C386" s="674" t="s">
        <v>2655</v>
      </c>
      <c r="D386" s="674" t="s">
        <v>1175</v>
      </c>
      <c r="E386" s="675" t="s">
        <v>92</v>
      </c>
      <c r="F386" s="676" t="s">
        <v>3971</v>
      </c>
      <c r="G386" s="676" t="s">
        <v>4186</v>
      </c>
      <c r="H386" s="677">
        <v>3.5000000000000005E-4</v>
      </c>
    </row>
    <row r="387" spans="1:8" customFormat="1" ht="15.75" thickTop="1" x14ac:dyDescent="0.25">
      <c r="A387" s="665"/>
      <c r="B387" s="666"/>
      <c r="C387" s="666"/>
      <c r="D387" s="666"/>
      <c r="E387" s="666"/>
      <c r="F387" s="666"/>
      <c r="G387" s="666"/>
      <c r="H387" s="667"/>
    </row>
    <row r="388" spans="1:8" customFormat="1" ht="15" x14ac:dyDescent="0.25">
      <c r="A388" s="668" t="s">
        <v>3457</v>
      </c>
      <c r="B388" s="669" t="s">
        <v>3697</v>
      </c>
      <c r="C388" s="669" t="s">
        <v>3460</v>
      </c>
      <c r="D388" s="669" t="s">
        <v>3462</v>
      </c>
      <c r="E388" s="670" t="s">
        <v>69</v>
      </c>
      <c r="F388" s="671" t="s">
        <v>63</v>
      </c>
      <c r="G388" s="671" t="s">
        <v>3720</v>
      </c>
      <c r="H388" s="672" t="s">
        <v>453</v>
      </c>
    </row>
    <row r="389" spans="1:8" s="658" customFormat="1" ht="22.5" x14ac:dyDescent="0.25">
      <c r="A389" s="653" t="s">
        <v>4187</v>
      </c>
      <c r="B389" s="654" t="s">
        <v>3702</v>
      </c>
      <c r="C389" s="654" t="s">
        <v>2651</v>
      </c>
      <c r="D389" s="654" t="s">
        <v>3562</v>
      </c>
      <c r="E389" s="655" t="s">
        <v>56</v>
      </c>
      <c r="F389" s="656">
        <v>1</v>
      </c>
      <c r="G389" s="656" t="s">
        <v>4188</v>
      </c>
      <c r="H389" s="657" t="s">
        <v>4188</v>
      </c>
    </row>
    <row r="390" spans="1:8" customFormat="1" ht="15" x14ac:dyDescent="0.25">
      <c r="A390" s="659" t="s">
        <v>4189</v>
      </c>
      <c r="B390" s="660" t="s">
        <v>1114</v>
      </c>
      <c r="C390" s="660" t="s">
        <v>2656</v>
      </c>
      <c r="D390" s="660" t="s">
        <v>3502</v>
      </c>
      <c r="E390" s="661" t="s">
        <v>1116</v>
      </c>
      <c r="F390" s="662" t="s">
        <v>3894</v>
      </c>
      <c r="G390" s="662" t="s">
        <v>4028</v>
      </c>
      <c r="H390" s="663">
        <v>1.2527999999999999</v>
      </c>
    </row>
    <row r="391" spans="1:8" customFormat="1" ht="15" x14ac:dyDescent="0.25">
      <c r="A391" s="659" t="s">
        <v>3737</v>
      </c>
      <c r="B391" s="660" t="s">
        <v>1114</v>
      </c>
      <c r="C391" s="660" t="s">
        <v>1134</v>
      </c>
      <c r="D391" s="660" t="s">
        <v>3502</v>
      </c>
      <c r="E391" s="661" t="s">
        <v>1116</v>
      </c>
      <c r="F391" s="662" t="s">
        <v>3894</v>
      </c>
      <c r="G391" s="662" t="s">
        <v>3739</v>
      </c>
      <c r="H391" s="663">
        <v>1.2492000000000001</v>
      </c>
    </row>
    <row r="392" spans="1:8" customFormat="1" ht="15" x14ac:dyDescent="0.25">
      <c r="A392" s="673" t="s">
        <v>3749</v>
      </c>
      <c r="B392" s="674" t="s">
        <v>1114</v>
      </c>
      <c r="C392" s="674" t="s">
        <v>1206</v>
      </c>
      <c r="D392" s="674" t="s">
        <v>1175</v>
      </c>
      <c r="E392" s="675" t="s">
        <v>273</v>
      </c>
      <c r="F392" s="676" t="s">
        <v>4190</v>
      </c>
      <c r="G392" s="676" t="s">
        <v>3751</v>
      </c>
      <c r="H392" s="678">
        <v>2.008</v>
      </c>
    </row>
    <row r="393" spans="1:8" customFormat="1" ht="15" x14ac:dyDescent="0.25">
      <c r="A393" s="673" t="s">
        <v>4179</v>
      </c>
      <c r="B393" s="674" t="s">
        <v>1114</v>
      </c>
      <c r="C393" s="674" t="s">
        <v>2653</v>
      </c>
      <c r="D393" s="674" t="s">
        <v>1175</v>
      </c>
      <c r="E393" s="675" t="s">
        <v>273</v>
      </c>
      <c r="F393" s="676" t="s">
        <v>4191</v>
      </c>
      <c r="G393" s="676" t="s">
        <v>4180</v>
      </c>
      <c r="H393" s="678">
        <v>4.5983599999999996</v>
      </c>
    </row>
    <row r="394" spans="1:8" customFormat="1" ht="15" x14ac:dyDescent="0.25">
      <c r="A394" s="673" t="s">
        <v>4183</v>
      </c>
      <c r="B394" s="674" t="s">
        <v>1114</v>
      </c>
      <c r="C394" s="674" t="s">
        <v>2654</v>
      </c>
      <c r="D394" s="674" t="s">
        <v>1175</v>
      </c>
      <c r="E394" s="675" t="s">
        <v>92</v>
      </c>
      <c r="F394" s="676" t="s">
        <v>4191</v>
      </c>
      <c r="G394" s="676" t="s">
        <v>4184</v>
      </c>
      <c r="H394" s="678">
        <v>9.9159999999999998E-2</v>
      </c>
    </row>
    <row r="395" spans="1:8" customFormat="1" ht="15" x14ac:dyDescent="0.25">
      <c r="A395" s="673" t="s">
        <v>4185</v>
      </c>
      <c r="B395" s="674" t="s">
        <v>1114</v>
      </c>
      <c r="C395" s="674" t="s">
        <v>2655</v>
      </c>
      <c r="D395" s="674" t="s">
        <v>1175</v>
      </c>
      <c r="E395" s="675" t="s">
        <v>92</v>
      </c>
      <c r="F395" s="676" t="s">
        <v>4191</v>
      </c>
      <c r="G395" s="676" t="s">
        <v>4186</v>
      </c>
      <c r="H395" s="678">
        <v>5.1800000000000006E-3</v>
      </c>
    </row>
    <row r="396" spans="1:8" customFormat="1" ht="15.75" thickBot="1" x14ac:dyDescent="0.3">
      <c r="A396" s="673" t="s">
        <v>4192</v>
      </c>
      <c r="B396" s="674" t="s">
        <v>3702</v>
      </c>
      <c r="C396" s="674" t="s">
        <v>2657</v>
      </c>
      <c r="D396" s="674" t="s">
        <v>1175</v>
      </c>
      <c r="E396" s="675" t="s">
        <v>56</v>
      </c>
      <c r="F396" s="676" t="s">
        <v>3711</v>
      </c>
      <c r="G396" s="676" t="s">
        <v>4193</v>
      </c>
      <c r="H396" s="677">
        <v>45</v>
      </c>
    </row>
    <row r="397" spans="1:8" customFormat="1" ht="15.75" thickTop="1" x14ac:dyDescent="0.25">
      <c r="A397" s="665"/>
      <c r="B397" s="666"/>
      <c r="C397" s="666"/>
      <c r="D397" s="666"/>
      <c r="E397" s="666"/>
      <c r="F397" s="666"/>
      <c r="G397" s="666"/>
      <c r="H397" s="667"/>
    </row>
    <row r="398" spans="1:8" customFormat="1" ht="15" x14ac:dyDescent="0.25">
      <c r="A398" s="668" t="s">
        <v>3457</v>
      </c>
      <c r="B398" s="669" t="s">
        <v>3697</v>
      </c>
      <c r="C398" s="669" t="s">
        <v>3460</v>
      </c>
      <c r="D398" s="669" t="s">
        <v>3462</v>
      </c>
      <c r="E398" s="670" t="s">
        <v>69</v>
      </c>
      <c r="F398" s="671" t="s">
        <v>63</v>
      </c>
      <c r="G398" s="671" t="s">
        <v>3720</v>
      </c>
      <c r="H398" s="672" t="s">
        <v>453</v>
      </c>
    </row>
    <row r="399" spans="1:8" s="658" customFormat="1" ht="22.5" x14ac:dyDescent="0.25">
      <c r="A399" s="653" t="s">
        <v>4194</v>
      </c>
      <c r="B399" s="654" t="s">
        <v>3702</v>
      </c>
      <c r="C399" s="654" t="s">
        <v>3444</v>
      </c>
      <c r="D399" s="654" t="s">
        <v>3562</v>
      </c>
      <c r="E399" s="655" t="s">
        <v>56</v>
      </c>
      <c r="F399" s="656">
        <v>1</v>
      </c>
      <c r="G399" s="656" t="s">
        <v>4195</v>
      </c>
      <c r="H399" s="657" t="s">
        <v>4195</v>
      </c>
    </row>
    <row r="400" spans="1:8" customFormat="1" ht="15" x14ac:dyDescent="0.25">
      <c r="A400" s="659" t="s">
        <v>3735</v>
      </c>
      <c r="B400" s="660" t="s">
        <v>1114</v>
      </c>
      <c r="C400" s="660" t="s">
        <v>1133</v>
      </c>
      <c r="D400" s="660" t="s">
        <v>3502</v>
      </c>
      <c r="E400" s="661" t="s">
        <v>1116</v>
      </c>
      <c r="F400" s="662" t="s">
        <v>4196</v>
      </c>
      <c r="G400" s="662" t="s">
        <v>3736</v>
      </c>
      <c r="H400" s="663">
        <v>32.691119999999998</v>
      </c>
    </row>
    <row r="401" spans="1:8" customFormat="1" ht="15" x14ac:dyDescent="0.25">
      <c r="A401" s="659" t="s">
        <v>3737</v>
      </c>
      <c r="B401" s="660" t="s">
        <v>1114</v>
      </c>
      <c r="C401" s="660" t="s">
        <v>1134</v>
      </c>
      <c r="D401" s="660" t="s">
        <v>3502</v>
      </c>
      <c r="E401" s="661" t="s">
        <v>1116</v>
      </c>
      <c r="F401" s="662" t="s">
        <v>4197</v>
      </c>
      <c r="G401" s="662" t="s">
        <v>3739</v>
      </c>
      <c r="H401" s="663">
        <v>30.980160000000005</v>
      </c>
    </row>
    <row r="402" spans="1:8" customFormat="1" ht="15" x14ac:dyDescent="0.25">
      <c r="A402" s="673" t="s">
        <v>4011</v>
      </c>
      <c r="B402" s="674" t="s">
        <v>1114</v>
      </c>
      <c r="C402" s="674" t="s">
        <v>1207</v>
      </c>
      <c r="D402" s="674" t="s">
        <v>1175</v>
      </c>
      <c r="E402" s="675" t="s">
        <v>92</v>
      </c>
      <c r="F402" s="676" t="s">
        <v>4198</v>
      </c>
      <c r="G402" s="676" t="s">
        <v>4013</v>
      </c>
      <c r="H402" s="678">
        <v>1.03823</v>
      </c>
    </row>
    <row r="403" spans="1:8" customFormat="1" ht="15" x14ac:dyDescent="0.25">
      <c r="A403" s="673" t="s">
        <v>3749</v>
      </c>
      <c r="B403" s="674" t="s">
        <v>1114</v>
      </c>
      <c r="C403" s="674" t="s">
        <v>1206</v>
      </c>
      <c r="D403" s="674" t="s">
        <v>1175</v>
      </c>
      <c r="E403" s="675" t="s">
        <v>273</v>
      </c>
      <c r="F403" s="676" t="s">
        <v>3877</v>
      </c>
      <c r="G403" s="676" t="s">
        <v>3751</v>
      </c>
      <c r="H403" s="678">
        <v>6.275E-2</v>
      </c>
    </row>
    <row r="404" spans="1:8" customFormat="1" ht="15" x14ac:dyDescent="0.25">
      <c r="A404" s="673" t="s">
        <v>4199</v>
      </c>
      <c r="B404" s="674" t="s">
        <v>1114</v>
      </c>
      <c r="C404" s="674" t="s">
        <v>4200</v>
      </c>
      <c r="D404" s="674" t="s">
        <v>1175</v>
      </c>
      <c r="E404" s="675" t="s">
        <v>273</v>
      </c>
      <c r="F404" s="676" t="s">
        <v>3775</v>
      </c>
      <c r="G404" s="676" t="s">
        <v>4201</v>
      </c>
      <c r="H404" s="678">
        <v>28.735500000000002</v>
      </c>
    </row>
    <row r="405" spans="1:8" customFormat="1" ht="15.75" thickBot="1" x14ac:dyDescent="0.3">
      <c r="A405" s="673" t="s">
        <v>4202</v>
      </c>
      <c r="B405" s="674" t="s">
        <v>3702</v>
      </c>
      <c r="C405" s="674" t="s">
        <v>3444</v>
      </c>
      <c r="D405" s="674" t="s">
        <v>1175</v>
      </c>
      <c r="E405" s="675" t="s">
        <v>56</v>
      </c>
      <c r="F405" s="676" t="s">
        <v>3711</v>
      </c>
      <c r="G405" s="676" t="s">
        <v>4094</v>
      </c>
      <c r="H405" s="677">
        <v>280</v>
      </c>
    </row>
    <row r="406" spans="1:8" customFormat="1" ht="15.75" thickTop="1" x14ac:dyDescent="0.25">
      <c r="A406" s="665"/>
      <c r="B406" s="666"/>
      <c r="C406" s="666"/>
      <c r="D406" s="666"/>
      <c r="E406" s="666"/>
      <c r="F406" s="666"/>
      <c r="G406" s="666"/>
      <c r="H406" s="667"/>
    </row>
    <row r="407" spans="1:8" customFormat="1" ht="15" x14ac:dyDescent="0.25">
      <c r="A407" s="668" t="s">
        <v>3457</v>
      </c>
      <c r="B407" s="669" t="s">
        <v>3697</v>
      </c>
      <c r="C407" s="669" t="s">
        <v>3460</v>
      </c>
      <c r="D407" s="669" t="s">
        <v>3462</v>
      </c>
      <c r="E407" s="670" t="s">
        <v>69</v>
      </c>
      <c r="F407" s="671" t="s">
        <v>63</v>
      </c>
      <c r="G407" s="671" t="s">
        <v>3720</v>
      </c>
      <c r="H407" s="672" t="s">
        <v>453</v>
      </c>
    </row>
    <row r="408" spans="1:8" s="658" customFormat="1" ht="33.75" x14ac:dyDescent="0.25">
      <c r="A408" s="653" t="s">
        <v>3578</v>
      </c>
      <c r="B408" s="654" t="s">
        <v>3702</v>
      </c>
      <c r="C408" s="654" t="s">
        <v>798</v>
      </c>
      <c r="D408" s="654" t="s">
        <v>3502</v>
      </c>
      <c r="E408" s="655" t="s">
        <v>56</v>
      </c>
      <c r="F408" s="656">
        <v>1</v>
      </c>
      <c r="G408" s="656" t="s">
        <v>4203</v>
      </c>
      <c r="H408" s="657" t="s">
        <v>4203</v>
      </c>
    </row>
    <row r="409" spans="1:8" customFormat="1" ht="33.75" x14ac:dyDescent="0.25">
      <c r="A409" s="659" t="s">
        <v>4105</v>
      </c>
      <c r="B409" s="660" t="s">
        <v>1114</v>
      </c>
      <c r="C409" s="660" t="s">
        <v>1250</v>
      </c>
      <c r="D409" s="660" t="s">
        <v>3572</v>
      </c>
      <c r="E409" s="661" t="s">
        <v>106</v>
      </c>
      <c r="F409" s="662" t="s">
        <v>4204</v>
      </c>
      <c r="G409" s="662" t="s">
        <v>4107</v>
      </c>
      <c r="H409" s="663">
        <v>425.34280000000001</v>
      </c>
    </row>
    <row r="410" spans="1:8" customFormat="1" ht="33.75" x14ac:dyDescent="0.25">
      <c r="A410" s="659" t="s">
        <v>4205</v>
      </c>
      <c r="B410" s="660" t="s">
        <v>1114</v>
      </c>
      <c r="C410" s="660" t="s">
        <v>1283</v>
      </c>
      <c r="D410" s="660" t="s">
        <v>3575</v>
      </c>
      <c r="E410" s="661" t="s">
        <v>106</v>
      </c>
      <c r="F410" s="662" t="s">
        <v>4206</v>
      </c>
      <c r="G410" s="662" t="s">
        <v>4207</v>
      </c>
      <c r="H410" s="663">
        <v>37.627199999999995</v>
      </c>
    </row>
    <row r="411" spans="1:8" customFormat="1" ht="45" x14ac:dyDescent="0.25">
      <c r="A411" s="659" t="s">
        <v>4208</v>
      </c>
      <c r="B411" s="660" t="s">
        <v>1114</v>
      </c>
      <c r="C411" s="660" t="s">
        <v>773</v>
      </c>
      <c r="D411" s="660" t="s">
        <v>3489</v>
      </c>
      <c r="E411" s="661" t="s">
        <v>106</v>
      </c>
      <c r="F411" s="662" t="s">
        <v>4209</v>
      </c>
      <c r="G411" s="662" t="s">
        <v>4210</v>
      </c>
      <c r="H411" s="663">
        <v>237.08160000000001</v>
      </c>
    </row>
    <row r="412" spans="1:8" customFormat="1" ht="33.75" x14ac:dyDescent="0.25">
      <c r="A412" s="659" t="s">
        <v>4110</v>
      </c>
      <c r="B412" s="660" t="s">
        <v>1114</v>
      </c>
      <c r="C412" s="660" t="s">
        <v>2738</v>
      </c>
      <c r="D412" s="660" t="s">
        <v>3489</v>
      </c>
      <c r="E412" s="661" t="s">
        <v>106</v>
      </c>
      <c r="F412" s="662" t="s">
        <v>4211</v>
      </c>
      <c r="G412" s="662" t="s">
        <v>4111</v>
      </c>
      <c r="H412" s="663">
        <v>27.5456</v>
      </c>
    </row>
    <row r="413" spans="1:8" customFormat="1" ht="45" x14ac:dyDescent="0.25">
      <c r="A413" s="659" t="s">
        <v>4153</v>
      </c>
      <c r="B413" s="660" t="s">
        <v>1114</v>
      </c>
      <c r="C413" s="660" t="s">
        <v>771</v>
      </c>
      <c r="D413" s="660" t="s">
        <v>3489</v>
      </c>
      <c r="E413" s="661" t="s">
        <v>106</v>
      </c>
      <c r="F413" s="662" t="s">
        <v>4204</v>
      </c>
      <c r="G413" s="662" t="s">
        <v>4155</v>
      </c>
      <c r="H413" s="663">
        <v>124.2242</v>
      </c>
    </row>
    <row r="414" spans="1:8" customFormat="1" ht="33.75" x14ac:dyDescent="0.25">
      <c r="A414" s="659" t="s">
        <v>4115</v>
      </c>
      <c r="B414" s="660" t="s">
        <v>1114</v>
      </c>
      <c r="C414" s="660" t="s">
        <v>4116</v>
      </c>
      <c r="D414" s="660" t="s">
        <v>3489</v>
      </c>
      <c r="E414" s="661" t="s">
        <v>106</v>
      </c>
      <c r="F414" s="662" t="s">
        <v>4204</v>
      </c>
      <c r="G414" s="662" t="s">
        <v>4117</v>
      </c>
      <c r="H414" s="663">
        <v>122.34119999999999</v>
      </c>
    </row>
    <row r="415" spans="1:8" customFormat="1" ht="22.5" x14ac:dyDescent="0.25">
      <c r="A415" s="659" t="s">
        <v>4212</v>
      </c>
      <c r="B415" s="660" t="s">
        <v>1114</v>
      </c>
      <c r="C415" s="660" t="s">
        <v>1284</v>
      </c>
      <c r="D415" s="660" t="s">
        <v>3482</v>
      </c>
      <c r="E415" s="661" t="s">
        <v>106</v>
      </c>
      <c r="F415" s="662" t="s">
        <v>4213</v>
      </c>
      <c r="G415" s="662" t="s">
        <v>4214</v>
      </c>
      <c r="H415" s="663">
        <v>219.34049999999999</v>
      </c>
    </row>
    <row r="416" spans="1:8" customFormat="1" ht="22.5" x14ac:dyDescent="0.25">
      <c r="A416" s="659" t="s">
        <v>4215</v>
      </c>
      <c r="B416" s="660" t="s">
        <v>1114</v>
      </c>
      <c r="C416" s="660" t="s">
        <v>1285</v>
      </c>
      <c r="D416" s="660" t="s">
        <v>3575</v>
      </c>
      <c r="E416" s="661" t="s">
        <v>106</v>
      </c>
      <c r="F416" s="662" t="s">
        <v>4206</v>
      </c>
      <c r="G416" s="662" t="s">
        <v>4216</v>
      </c>
      <c r="H416" s="663">
        <v>57.542400000000001</v>
      </c>
    </row>
    <row r="417" spans="1:8" customFormat="1" ht="33.75" x14ac:dyDescent="0.25">
      <c r="A417" s="659" t="s">
        <v>4217</v>
      </c>
      <c r="B417" s="660" t="s">
        <v>1114</v>
      </c>
      <c r="C417" s="660" t="s">
        <v>1286</v>
      </c>
      <c r="D417" s="660" t="s">
        <v>3575</v>
      </c>
      <c r="E417" s="661" t="s">
        <v>106</v>
      </c>
      <c r="F417" s="662" t="s">
        <v>4206</v>
      </c>
      <c r="G417" s="662" t="s">
        <v>4218</v>
      </c>
      <c r="H417" s="663">
        <v>42.984000000000002</v>
      </c>
    </row>
    <row r="418" spans="1:8" customFormat="1" ht="33.75" x14ac:dyDescent="0.25">
      <c r="A418" s="659" t="s">
        <v>4219</v>
      </c>
      <c r="B418" s="660" t="s">
        <v>1114</v>
      </c>
      <c r="C418" s="660" t="s">
        <v>784</v>
      </c>
      <c r="D418" s="660" t="s">
        <v>3500</v>
      </c>
      <c r="E418" s="661" t="s">
        <v>106</v>
      </c>
      <c r="F418" s="662" t="s">
        <v>4220</v>
      </c>
      <c r="G418" s="662" t="s">
        <v>4221</v>
      </c>
      <c r="H418" s="663">
        <v>1997.0713000000001</v>
      </c>
    </row>
    <row r="419" spans="1:8" customFormat="1" ht="23.25" thickBot="1" x14ac:dyDescent="0.3">
      <c r="A419" s="659" t="s">
        <v>4222</v>
      </c>
      <c r="B419" s="660" t="s">
        <v>1114</v>
      </c>
      <c r="C419" s="660" t="s">
        <v>4223</v>
      </c>
      <c r="D419" s="660" t="s">
        <v>3463</v>
      </c>
      <c r="E419" s="661" t="s">
        <v>56</v>
      </c>
      <c r="F419" s="662" t="s">
        <v>3711</v>
      </c>
      <c r="G419" s="662" t="s">
        <v>4224</v>
      </c>
      <c r="H419" s="664">
        <v>7.41</v>
      </c>
    </row>
    <row r="420" spans="1:8" customFormat="1" ht="15.75" thickTop="1" x14ac:dyDescent="0.25">
      <c r="A420" s="665"/>
      <c r="B420" s="666"/>
      <c r="C420" s="666"/>
      <c r="D420" s="666"/>
      <c r="E420" s="666"/>
      <c r="F420" s="666"/>
      <c r="G420" s="666"/>
      <c r="H420" s="667"/>
    </row>
    <row r="421" spans="1:8" customFormat="1" ht="15" x14ac:dyDescent="0.25">
      <c r="A421" s="668" t="s">
        <v>3457</v>
      </c>
      <c r="B421" s="669" t="s">
        <v>3697</v>
      </c>
      <c r="C421" s="669" t="s">
        <v>3460</v>
      </c>
      <c r="D421" s="669" t="s">
        <v>3462</v>
      </c>
      <c r="E421" s="670" t="s">
        <v>69</v>
      </c>
      <c r="F421" s="671" t="s">
        <v>63</v>
      </c>
      <c r="G421" s="671" t="s">
        <v>3720</v>
      </c>
      <c r="H421" s="672" t="s">
        <v>453</v>
      </c>
    </row>
    <row r="422" spans="1:8" s="658" customFormat="1" ht="22.5" x14ac:dyDescent="0.25">
      <c r="A422" s="653" t="s">
        <v>3476</v>
      </c>
      <c r="B422" s="654" t="s">
        <v>3702</v>
      </c>
      <c r="C422" s="654" t="s">
        <v>846</v>
      </c>
      <c r="D422" s="654" t="s">
        <v>3463</v>
      </c>
      <c r="E422" s="655" t="s">
        <v>56</v>
      </c>
      <c r="F422" s="656">
        <v>1</v>
      </c>
      <c r="G422" s="656" t="s">
        <v>4225</v>
      </c>
      <c r="H422" s="657" t="s">
        <v>4225</v>
      </c>
    </row>
    <row r="423" spans="1:8" customFormat="1" ht="15" x14ac:dyDescent="0.25">
      <c r="A423" s="659" t="s">
        <v>3737</v>
      </c>
      <c r="B423" s="660" t="s">
        <v>1114</v>
      </c>
      <c r="C423" s="660" t="s">
        <v>1134</v>
      </c>
      <c r="D423" s="660" t="s">
        <v>3502</v>
      </c>
      <c r="E423" s="661" t="s">
        <v>1116</v>
      </c>
      <c r="F423" s="662" t="s">
        <v>4226</v>
      </c>
      <c r="G423" s="662" t="s">
        <v>3739</v>
      </c>
      <c r="H423" s="663">
        <v>1.9432000000000003</v>
      </c>
    </row>
    <row r="424" spans="1:8" customFormat="1" ht="15" x14ac:dyDescent="0.25">
      <c r="A424" s="659" t="s">
        <v>3732</v>
      </c>
      <c r="B424" s="660" t="s">
        <v>1114</v>
      </c>
      <c r="C424" s="660" t="s">
        <v>1287</v>
      </c>
      <c r="D424" s="660" t="s">
        <v>3502</v>
      </c>
      <c r="E424" s="661" t="s">
        <v>1116</v>
      </c>
      <c r="F424" s="662" t="s">
        <v>4226</v>
      </c>
      <c r="G424" s="662" t="s">
        <v>3734</v>
      </c>
      <c r="H424" s="663">
        <v>2.4472000000000005</v>
      </c>
    </row>
    <row r="425" spans="1:8" customFormat="1" ht="15" x14ac:dyDescent="0.25">
      <c r="A425" s="673" t="s">
        <v>4227</v>
      </c>
      <c r="B425" s="674" t="s">
        <v>1114</v>
      </c>
      <c r="C425" s="674" t="s">
        <v>1288</v>
      </c>
      <c r="D425" s="674" t="s">
        <v>1175</v>
      </c>
      <c r="E425" s="675" t="s">
        <v>56</v>
      </c>
      <c r="F425" s="676" t="s">
        <v>4228</v>
      </c>
      <c r="G425" s="676" t="s">
        <v>4229</v>
      </c>
      <c r="H425" s="678">
        <v>0.63223999999999991</v>
      </c>
    </row>
    <row r="426" spans="1:8" customFormat="1" ht="15" x14ac:dyDescent="0.25">
      <c r="A426" s="673" t="s">
        <v>4230</v>
      </c>
      <c r="B426" s="674" t="s">
        <v>1114</v>
      </c>
      <c r="C426" s="674" t="s">
        <v>1291</v>
      </c>
      <c r="D426" s="674" t="s">
        <v>1175</v>
      </c>
      <c r="E426" s="675" t="s">
        <v>56</v>
      </c>
      <c r="F426" s="676" t="s">
        <v>3711</v>
      </c>
      <c r="G426" s="676" t="s">
        <v>4231</v>
      </c>
      <c r="H426" s="678">
        <v>5.57</v>
      </c>
    </row>
    <row r="427" spans="1:8" customFormat="1" ht="15.75" thickBot="1" x14ac:dyDescent="0.3">
      <c r="A427" s="673" t="s">
        <v>4232</v>
      </c>
      <c r="B427" s="674" t="s">
        <v>1114</v>
      </c>
      <c r="C427" s="674" t="s">
        <v>1289</v>
      </c>
      <c r="D427" s="674" t="s">
        <v>1175</v>
      </c>
      <c r="E427" s="675" t="s">
        <v>56</v>
      </c>
      <c r="F427" s="676" t="s">
        <v>3822</v>
      </c>
      <c r="G427" s="676" t="s">
        <v>4233</v>
      </c>
      <c r="H427" s="677">
        <v>0.78439999999999999</v>
      </c>
    </row>
    <row r="428" spans="1:8" customFormat="1" ht="15.75" thickTop="1" x14ac:dyDescent="0.25">
      <c r="A428" s="665"/>
      <c r="B428" s="666"/>
      <c r="C428" s="666"/>
      <c r="D428" s="666"/>
      <c r="E428" s="666"/>
      <c r="F428" s="666"/>
      <c r="G428" s="666"/>
      <c r="H428" s="667"/>
    </row>
    <row r="429" spans="1:8" customFormat="1" ht="15" x14ac:dyDescent="0.25">
      <c r="A429" s="668" t="s">
        <v>3457</v>
      </c>
      <c r="B429" s="669" t="s">
        <v>3697</v>
      </c>
      <c r="C429" s="669" t="s">
        <v>3460</v>
      </c>
      <c r="D429" s="669" t="s">
        <v>3462</v>
      </c>
      <c r="E429" s="670" t="s">
        <v>69</v>
      </c>
      <c r="F429" s="671" t="s">
        <v>63</v>
      </c>
      <c r="G429" s="671" t="s">
        <v>3720</v>
      </c>
      <c r="H429" s="672" t="s">
        <v>453</v>
      </c>
    </row>
    <row r="430" spans="1:8" s="658" customFormat="1" ht="22.5" x14ac:dyDescent="0.25">
      <c r="A430" s="653" t="s">
        <v>3637</v>
      </c>
      <c r="B430" s="654" t="s">
        <v>3702</v>
      </c>
      <c r="C430" s="654" t="s">
        <v>848</v>
      </c>
      <c r="D430" s="654" t="s">
        <v>3463</v>
      </c>
      <c r="E430" s="655" t="s">
        <v>56</v>
      </c>
      <c r="F430" s="656">
        <v>1</v>
      </c>
      <c r="G430" s="656" t="s">
        <v>4234</v>
      </c>
      <c r="H430" s="657" t="s">
        <v>4234</v>
      </c>
    </row>
    <row r="431" spans="1:8" customFormat="1" ht="15" x14ac:dyDescent="0.25">
      <c r="A431" s="659" t="s">
        <v>3737</v>
      </c>
      <c r="B431" s="660" t="s">
        <v>1114</v>
      </c>
      <c r="C431" s="660" t="s">
        <v>1134</v>
      </c>
      <c r="D431" s="660" t="s">
        <v>3502</v>
      </c>
      <c r="E431" s="661" t="s">
        <v>1116</v>
      </c>
      <c r="F431" s="662" t="s">
        <v>3809</v>
      </c>
      <c r="G431" s="662" t="s">
        <v>3739</v>
      </c>
      <c r="H431" s="663">
        <v>2.6372</v>
      </c>
    </row>
    <row r="432" spans="1:8" customFormat="1" ht="15" x14ac:dyDescent="0.25">
      <c r="A432" s="659" t="s">
        <v>3732</v>
      </c>
      <c r="B432" s="660" t="s">
        <v>1114</v>
      </c>
      <c r="C432" s="660" t="s">
        <v>1287</v>
      </c>
      <c r="D432" s="660" t="s">
        <v>3502</v>
      </c>
      <c r="E432" s="661" t="s">
        <v>1116</v>
      </c>
      <c r="F432" s="662" t="s">
        <v>3809</v>
      </c>
      <c r="G432" s="662" t="s">
        <v>3734</v>
      </c>
      <c r="H432" s="663">
        <v>3.3212000000000002</v>
      </c>
    </row>
    <row r="433" spans="1:8" customFormat="1" ht="15" x14ac:dyDescent="0.25">
      <c r="A433" s="673" t="s">
        <v>4227</v>
      </c>
      <c r="B433" s="674" t="s">
        <v>1114</v>
      </c>
      <c r="C433" s="674" t="s">
        <v>1288</v>
      </c>
      <c r="D433" s="674" t="s">
        <v>1175</v>
      </c>
      <c r="E433" s="675" t="s">
        <v>56</v>
      </c>
      <c r="F433" s="676" t="s">
        <v>4235</v>
      </c>
      <c r="G433" s="676" t="s">
        <v>4229</v>
      </c>
      <c r="H433" s="678">
        <v>1.6709199999999997</v>
      </c>
    </row>
    <row r="434" spans="1:8" customFormat="1" ht="15" x14ac:dyDescent="0.25">
      <c r="A434" s="673" t="s">
        <v>4236</v>
      </c>
      <c r="B434" s="674" t="s">
        <v>1114</v>
      </c>
      <c r="C434" s="674" t="s">
        <v>4237</v>
      </c>
      <c r="D434" s="674" t="s">
        <v>1175</v>
      </c>
      <c r="E434" s="675" t="s">
        <v>56</v>
      </c>
      <c r="F434" s="676" t="s">
        <v>3711</v>
      </c>
      <c r="G434" s="676" t="s">
        <v>4238</v>
      </c>
      <c r="H434" s="678">
        <v>11.11</v>
      </c>
    </row>
    <row r="435" spans="1:8" customFormat="1" ht="15.75" thickBot="1" x14ac:dyDescent="0.3">
      <c r="A435" s="673" t="s">
        <v>4232</v>
      </c>
      <c r="B435" s="674" t="s">
        <v>1114</v>
      </c>
      <c r="C435" s="674" t="s">
        <v>1289</v>
      </c>
      <c r="D435" s="674" t="s">
        <v>1175</v>
      </c>
      <c r="E435" s="675" t="s">
        <v>56</v>
      </c>
      <c r="F435" s="676" t="s">
        <v>4239</v>
      </c>
      <c r="G435" s="676" t="s">
        <v>4233</v>
      </c>
      <c r="H435" s="677">
        <v>2.1963200000000001</v>
      </c>
    </row>
    <row r="436" spans="1:8" customFormat="1" ht="15.75" thickTop="1" x14ac:dyDescent="0.25">
      <c r="A436" s="665"/>
      <c r="B436" s="666"/>
      <c r="C436" s="666"/>
      <c r="D436" s="666"/>
      <c r="E436" s="666"/>
      <c r="F436" s="666"/>
      <c r="G436" s="666"/>
      <c r="H436" s="667"/>
    </row>
    <row r="437" spans="1:8" customFormat="1" ht="15" x14ac:dyDescent="0.25">
      <c r="A437" s="668" t="s">
        <v>3457</v>
      </c>
      <c r="B437" s="669" t="s">
        <v>3697</v>
      </c>
      <c r="C437" s="669" t="s">
        <v>3460</v>
      </c>
      <c r="D437" s="669" t="s">
        <v>3462</v>
      </c>
      <c r="E437" s="670" t="s">
        <v>69</v>
      </c>
      <c r="F437" s="671" t="s">
        <v>63</v>
      </c>
      <c r="G437" s="671" t="s">
        <v>3720</v>
      </c>
      <c r="H437" s="672" t="s">
        <v>453</v>
      </c>
    </row>
    <row r="438" spans="1:8" s="658" customFormat="1" ht="22.5" x14ac:dyDescent="0.25">
      <c r="A438" s="653" t="s">
        <v>3458</v>
      </c>
      <c r="B438" s="654" t="s">
        <v>3702</v>
      </c>
      <c r="C438" s="654" t="s">
        <v>2807</v>
      </c>
      <c r="D438" s="654" t="s">
        <v>3463</v>
      </c>
      <c r="E438" s="655" t="s">
        <v>56</v>
      </c>
      <c r="F438" s="656">
        <v>1</v>
      </c>
      <c r="G438" s="656" t="s">
        <v>4240</v>
      </c>
      <c r="H438" s="657" t="s">
        <v>4240</v>
      </c>
    </row>
    <row r="439" spans="1:8" customFormat="1" ht="15" x14ac:dyDescent="0.25">
      <c r="A439" s="659" t="s">
        <v>3732</v>
      </c>
      <c r="B439" s="660" t="s">
        <v>1114</v>
      </c>
      <c r="C439" s="660" t="s">
        <v>1287</v>
      </c>
      <c r="D439" s="660" t="s">
        <v>3502</v>
      </c>
      <c r="E439" s="661" t="s">
        <v>1116</v>
      </c>
      <c r="F439" s="662" t="s">
        <v>4241</v>
      </c>
      <c r="G439" s="662" t="s">
        <v>3734</v>
      </c>
      <c r="H439" s="663">
        <v>4.1951999999999998</v>
      </c>
    </row>
    <row r="440" spans="1:8" customFormat="1" ht="15" x14ac:dyDescent="0.25">
      <c r="A440" s="659" t="s">
        <v>3737</v>
      </c>
      <c r="B440" s="660" t="s">
        <v>1114</v>
      </c>
      <c r="C440" s="660" t="s">
        <v>1134</v>
      </c>
      <c r="D440" s="660" t="s">
        <v>3502</v>
      </c>
      <c r="E440" s="661" t="s">
        <v>1116</v>
      </c>
      <c r="F440" s="662" t="s">
        <v>4241</v>
      </c>
      <c r="G440" s="662" t="s">
        <v>3739</v>
      </c>
      <c r="H440" s="663">
        <v>3.3311999999999999</v>
      </c>
    </row>
    <row r="441" spans="1:8" customFormat="1" ht="15" x14ac:dyDescent="0.25">
      <c r="A441" s="673" t="s">
        <v>4227</v>
      </c>
      <c r="B441" s="674" t="s">
        <v>1114</v>
      </c>
      <c r="C441" s="674" t="s">
        <v>1288</v>
      </c>
      <c r="D441" s="674" t="s">
        <v>1175</v>
      </c>
      <c r="E441" s="675" t="s">
        <v>56</v>
      </c>
      <c r="F441" s="676" t="s">
        <v>3836</v>
      </c>
      <c r="G441" s="676" t="s">
        <v>4229</v>
      </c>
      <c r="H441" s="678">
        <v>0.13547999999999999</v>
      </c>
    </row>
    <row r="442" spans="1:8" customFormat="1" ht="15" x14ac:dyDescent="0.25">
      <c r="A442" s="673" t="s">
        <v>4242</v>
      </c>
      <c r="B442" s="674" t="s">
        <v>1114</v>
      </c>
      <c r="C442" s="674" t="s">
        <v>4243</v>
      </c>
      <c r="D442" s="674" t="s">
        <v>1175</v>
      </c>
      <c r="E442" s="675" t="s">
        <v>56</v>
      </c>
      <c r="F442" s="676" t="s">
        <v>3711</v>
      </c>
      <c r="G442" s="676" t="s">
        <v>4244</v>
      </c>
      <c r="H442" s="678">
        <v>3.77</v>
      </c>
    </row>
    <row r="443" spans="1:8" customFormat="1" ht="15.75" thickBot="1" x14ac:dyDescent="0.3">
      <c r="A443" s="673" t="s">
        <v>4232</v>
      </c>
      <c r="B443" s="674" t="s">
        <v>1114</v>
      </c>
      <c r="C443" s="674" t="s">
        <v>1289</v>
      </c>
      <c r="D443" s="674" t="s">
        <v>1175</v>
      </c>
      <c r="E443" s="675" t="s">
        <v>56</v>
      </c>
      <c r="F443" s="676" t="s">
        <v>4245</v>
      </c>
      <c r="G443" s="676" t="s">
        <v>4233</v>
      </c>
      <c r="H443" s="677">
        <v>1.8041199999999999</v>
      </c>
    </row>
    <row r="444" spans="1:8" customFormat="1" ht="15.75" thickTop="1" x14ac:dyDescent="0.25">
      <c r="A444" s="665"/>
      <c r="B444" s="666"/>
      <c r="C444" s="666"/>
      <c r="D444" s="666"/>
      <c r="E444" s="666"/>
      <c r="F444" s="666"/>
      <c r="G444" s="666"/>
      <c r="H444" s="667"/>
    </row>
    <row r="445" spans="1:8" customFormat="1" ht="15" x14ac:dyDescent="0.25">
      <c r="A445" s="668" t="s">
        <v>3457</v>
      </c>
      <c r="B445" s="669" t="s">
        <v>3697</v>
      </c>
      <c r="C445" s="669" t="s">
        <v>3460</v>
      </c>
      <c r="D445" s="669" t="s">
        <v>3462</v>
      </c>
      <c r="E445" s="670" t="s">
        <v>69</v>
      </c>
      <c r="F445" s="671" t="s">
        <v>63</v>
      </c>
      <c r="G445" s="671" t="s">
        <v>3720</v>
      </c>
      <c r="H445" s="672" t="s">
        <v>453</v>
      </c>
    </row>
    <row r="446" spans="1:8" s="658" customFormat="1" ht="22.5" x14ac:dyDescent="0.25">
      <c r="A446" s="653" t="s">
        <v>3465</v>
      </c>
      <c r="B446" s="654" t="s">
        <v>3702</v>
      </c>
      <c r="C446" s="654" t="s">
        <v>2809</v>
      </c>
      <c r="D446" s="654" t="s">
        <v>3463</v>
      </c>
      <c r="E446" s="655" t="s">
        <v>56</v>
      </c>
      <c r="F446" s="656">
        <v>1</v>
      </c>
      <c r="G446" s="656" t="s">
        <v>4246</v>
      </c>
      <c r="H446" s="657" t="s">
        <v>4246</v>
      </c>
    </row>
    <row r="447" spans="1:8" customFormat="1" ht="15" x14ac:dyDescent="0.25">
      <c r="A447" s="659" t="s">
        <v>3732</v>
      </c>
      <c r="B447" s="660" t="s">
        <v>1114</v>
      </c>
      <c r="C447" s="660" t="s">
        <v>1287</v>
      </c>
      <c r="D447" s="660" t="s">
        <v>3502</v>
      </c>
      <c r="E447" s="661" t="s">
        <v>1116</v>
      </c>
      <c r="F447" s="662" t="s">
        <v>3952</v>
      </c>
      <c r="G447" s="662" t="s">
        <v>3734</v>
      </c>
      <c r="H447" s="663">
        <v>4.37</v>
      </c>
    </row>
    <row r="448" spans="1:8" customFormat="1" ht="15" x14ac:dyDescent="0.25">
      <c r="A448" s="659" t="s">
        <v>3737</v>
      </c>
      <c r="B448" s="660" t="s">
        <v>1114</v>
      </c>
      <c r="C448" s="660" t="s">
        <v>1134</v>
      </c>
      <c r="D448" s="660" t="s">
        <v>3502</v>
      </c>
      <c r="E448" s="661" t="s">
        <v>1116</v>
      </c>
      <c r="F448" s="662" t="s">
        <v>3952</v>
      </c>
      <c r="G448" s="662" t="s">
        <v>3739</v>
      </c>
      <c r="H448" s="663">
        <v>3.47</v>
      </c>
    </row>
    <row r="449" spans="1:8" customFormat="1" ht="15" x14ac:dyDescent="0.25">
      <c r="A449" s="673" t="s">
        <v>4227</v>
      </c>
      <c r="B449" s="674" t="s">
        <v>1114</v>
      </c>
      <c r="C449" s="674" t="s">
        <v>1288</v>
      </c>
      <c r="D449" s="674" t="s">
        <v>1175</v>
      </c>
      <c r="E449" s="675" t="s">
        <v>56</v>
      </c>
      <c r="F449" s="676" t="s">
        <v>4247</v>
      </c>
      <c r="G449" s="676" t="s">
        <v>4229</v>
      </c>
      <c r="H449" s="678">
        <v>0.18064</v>
      </c>
    </row>
    <row r="450" spans="1:8" customFormat="1" ht="15" x14ac:dyDescent="0.25">
      <c r="A450" s="673" t="s">
        <v>4248</v>
      </c>
      <c r="B450" s="674" t="s">
        <v>1114</v>
      </c>
      <c r="C450" s="674" t="s">
        <v>1294</v>
      </c>
      <c r="D450" s="674" t="s">
        <v>1175</v>
      </c>
      <c r="E450" s="675" t="s">
        <v>56</v>
      </c>
      <c r="F450" s="676" t="s">
        <v>3711</v>
      </c>
      <c r="G450" s="676" t="s">
        <v>4249</v>
      </c>
      <c r="H450" s="678">
        <v>7.06</v>
      </c>
    </row>
    <row r="451" spans="1:8" customFormat="1" ht="15.75" thickBot="1" x14ac:dyDescent="0.3">
      <c r="A451" s="673" t="s">
        <v>4232</v>
      </c>
      <c r="B451" s="674" t="s">
        <v>1114</v>
      </c>
      <c r="C451" s="674" t="s">
        <v>1289</v>
      </c>
      <c r="D451" s="674" t="s">
        <v>1175</v>
      </c>
      <c r="E451" s="675" t="s">
        <v>56</v>
      </c>
      <c r="F451" s="676" t="s">
        <v>3813</v>
      </c>
      <c r="G451" s="676" t="s">
        <v>4233</v>
      </c>
      <c r="H451" s="677">
        <v>2.39242</v>
      </c>
    </row>
    <row r="452" spans="1:8" customFormat="1" ht="15.75" thickTop="1" x14ac:dyDescent="0.25">
      <c r="A452" s="665"/>
      <c r="B452" s="666"/>
      <c r="C452" s="666"/>
      <c r="D452" s="666"/>
      <c r="E452" s="666"/>
      <c r="F452" s="666"/>
      <c r="G452" s="666"/>
      <c r="H452" s="667"/>
    </row>
    <row r="453" spans="1:8" customFormat="1" ht="15" x14ac:dyDescent="0.25">
      <c r="A453" s="668" t="s">
        <v>3457</v>
      </c>
      <c r="B453" s="669" t="s">
        <v>3697</v>
      </c>
      <c r="C453" s="669" t="s">
        <v>3460</v>
      </c>
      <c r="D453" s="669" t="s">
        <v>3462</v>
      </c>
      <c r="E453" s="670" t="s">
        <v>69</v>
      </c>
      <c r="F453" s="671" t="s">
        <v>63</v>
      </c>
      <c r="G453" s="671" t="s">
        <v>3720</v>
      </c>
      <c r="H453" s="672" t="s">
        <v>453</v>
      </c>
    </row>
    <row r="454" spans="1:8" s="658" customFormat="1" ht="22.5" x14ac:dyDescent="0.25">
      <c r="A454" s="653" t="s">
        <v>3555</v>
      </c>
      <c r="B454" s="654" t="s">
        <v>3702</v>
      </c>
      <c r="C454" s="654" t="s">
        <v>2114</v>
      </c>
      <c r="D454" s="654" t="s">
        <v>3463</v>
      </c>
      <c r="E454" s="655" t="s">
        <v>56</v>
      </c>
      <c r="F454" s="656">
        <v>1</v>
      </c>
      <c r="G454" s="656" t="s">
        <v>4250</v>
      </c>
      <c r="H454" s="657" t="s">
        <v>4250</v>
      </c>
    </row>
    <row r="455" spans="1:8" customFormat="1" ht="15" x14ac:dyDescent="0.25">
      <c r="A455" s="659" t="s">
        <v>3737</v>
      </c>
      <c r="B455" s="660" t="s">
        <v>1114</v>
      </c>
      <c r="C455" s="660" t="s">
        <v>1134</v>
      </c>
      <c r="D455" s="660" t="s">
        <v>3502</v>
      </c>
      <c r="E455" s="661" t="s">
        <v>1116</v>
      </c>
      <c r="F455" s="662" t="s">
        <v>4251</v>
      </c>
      <c r="G455" s="662" t="s">
        <v>3739</v>
      </c>
      <c r="H455" s="663">
        <v>4.3028000000000004</v>
      </c>
    </row>
    <row r="456" spans="1:8" customFormat="1" ht="15" x14ac:dyDescent="0.25">
      <c r="A456" s="659" t="s">
        <v>3732</v>
      </c>
      <c r="B456" s="660" t="s">
        <v>1114</v>
      </c>
      <c r="C456" s="660" t="s">
        <v>1287</v>
      </c>
      <c r="D456" s="660" t="s">
        <v>3502</v>
      </c>
      <c r="E456" s="661" t="s">
        <v>1116</v>
      </c>
      <c r="F456" s="662" t="s">
        <v>4251</v>
      </c>
      <c r="G456" s="662" t="s">
        <v>3734</v>
      </c>
      <c r="H456" s="663">
        <v>5.4188000000000001</v>
      </c>
    </row>
    <row r="457" spans="1:8" customFormat="1" ht="15" x14ac:dyDescent="0.25">
      <c r="A457" s="673" t="s">
        <v>4227</v>
      </c>
      <c r="B457" s="674" t="s">
        <v>1114</v>
      </c>
      <c r="C457" s="674" t="s">
        <v>1288</v>
      </c>
      <c r="D457" s="674" t="s">
        <v>1175</v>
      </c>
      <c r="E457" s="675" t="s">
        <v>56</v>
      </c>
      <c r="F457" s="676" t="s">
        <v>4252</v>
      </c>
      <c r="G457" s="676" t="s">
        <v>4229</v>
      </c>
      <c r="H457" s="678">
        <v>0.31611999999999996</v>
      </c>
    </row>
    <row r="458" spans="1:8" customFormat="1" ht="15" x14ac:dyDescent="0.25">
      <c r="A458" s="673" t="s">
        <v>4232</v>
      </c>
      <c r="B458" s="674" t="s">
        <v>1114</v>
      </c>
      <c r="C458" s="674" t="s">
        <v>1289</v>
      </c>
      <c r="D458" s="674" t="s">
        <v>1175</v>
      </c>
      <c r="E458" s="675" t="s">
        <v>56</v>
      </c>
      <c r="F458" s="676" t="s">
        <v>4253</v>
      </c>
      <c r="G458" s="676" t="s">
        <v>4233</v>
      </c>
      <c r="H458" s="678">
        <v>3.0591599999999999</v>
      </c>
    </row>
    <row r="459" spans="1:8" customFormat="1" ht="15.75" thickBot="1" x14ac:dyDescent="0.3">
      <c r="A459" s="673" t="s">
        <v>4254</v>
      </c>
      <c r="B459" s="674" t="s">
        <v>1114</v>
      </c>
      <c r="C459" s="674" t="s">
        <v>2115</v>
      </c>
      <c r="D459" s="674" t="s">
        <v>1175</v>
      </c>
      <c r="E459" s="675" t="s">
        <v>56</v>
      </c>
      <c r="F459" s="676" t="s">
        <v>3711</v>
      </c>
      <c r="G459" s="676" t="s">
        <v>4255</v>
      </c>
      <c r="H459" s="677">
        <v>12.5</v>
      </c>
    </row>
    <row r="460" spans="1:8" customFormat="1" ht="15.75" thickTop="1" x14ac:dyDescent="0.25">
      <c r="A460" s="665"/>
      <c r="B460" s="666"/>
      <c r="C460" s="666"/>
      <c r="D460" s="666"/>
      <c r="E460" s="666"/>
      <c r="F460" s="666"/>
      <c r="G460" s="666"/>
      <c r="H460" s="667"/>
    </row>
    <row r="461" spans="1:8" customFormat="1" ht="15" x14ac:dyDescent="0.25">
      <c r="A461" s="668" t="s">
        <v>3457</v>
      </c>
      <c r="B461" s="669" t="s">
        <v>3697</v>
      </c>
      <c r="C461" s="669" t="s">
        <v>3460</v>
      </c>
      <c r="D461" s="669" t="s">
        <v>3462</v>
      </c>
      <c r="E461" s="670" t="s">
        <v>69</v>
      </c>
      <c r="F461" s="671" t="s">
        <v>63</v>
      </c>
      <c r="G461" s="671" t="s">
        <v>3720</v>
      </c>
      <c r="H461" s="672" t="s">
        <v>453</v>
      </c>
    </row>
    <row r="462" spans="1:8" s="658" customFormat="1" ht="22.5" x14ac:dyDescent="0.25">
      <c r="A462" s="653" t="s">
        <v>3478</v>
      </c>
      <c r="B462" s="654" t="s">
        <v>3702</v>
      </c>
      <c r="C462" s="654" t="s">
        <v>2810</v>
      </c>
      <c r="D462" s="654" t="s">
        <v>3463</v>
      </c>
      <c r="E462" s="655" t="s">
        <v>56</v>
      </c>
      <c r="F462" s="656">
        <v>1</v>
      </c>
      <c r="G462" s="656" t="s">
        <v>4256</v>
      </c>
      <c r="H462" s="657" t="s">
        <v>4256</v>
      </c>
    </row>
    <row r="463" spans="1:8" customFormat="1" ht="15" x14ac:dyDescent="0.25">
      <c r="A463" s="659" t="s">
        <v>3737</v>
      </c>
      <c r="B463" s="660" t="s">
        <v>1114</v>
      </c>
      <c r="C463" s="660" t="s">
        <v>1134</v>
      </c>
      <c r="D463" s="660" t="s">
        <v>3502</v>
      </c>
      <c r="E463" s="661" t="s">
        <v>1116</v>
      </c>
      <c r="F463" s="662" t="s">
        <v>4257</v>
      </c>
      <c r="G463" s="662" t="s">
        <v>3739</v>
      </c>
      <c r="H463" s="663">
        <v>4.5804000000000009</v>
      </c>
    </row>
    <row r="464" spans="1:8" customFormat="1" ht="15" x14ac:dyDescent="0.25">
      <c r="A464" s="659" t="s">
        <v>3732</v>
      </c>
      <c r="B464" s="660" t="s">
        <v>1114</v>
      </c>
      <c r="C464" s="660" t="s">
        <v>1287</v>
      </c>
      <c r="D464" s="660" t="s">
        <v>3502</v>
      </c>
      <c r="E464" s="661" t="s">
        <v>1116</v>
      </c>
      <c r="F464" s="662" t="s">
        <v>4257</v>
      </c>
      <c r="G464" s="662" t="s">
        <v>3734</v>
      </c>
      <c r="H464" s="663">
        <v>5.7684000000000006</v>
      </c>
    </row>
    <row r="465" spans="1:8" customFormat="1" ht="15" x14ac:dyDescent="0.25">
      <c r="A465" s="673" t="s">
        <v>4227</v>
      </c>
      <c r="B465" s="674" t="s">
        <v>1114</v>
      </c>
      <c r="C465" s="674" t="s">
        <v>1288</v>
      </c>
      <c r="D465" s="674" t="s">
        <v>1175</v>
      </c>
      <c r="E465" s="675" t="s">
        <v>56</v>
      </c>
      <c r="F465" s="676" t="s">
        <v>3864</v>
      </c>
      <c r="G465" s="676" t="s">
        <v>4229</v>
      </c>
      <c r="H465" s="678">
        <v>0.4516</v>
      </c>
    </row>
    <row r="466" spans="1:8" customFormat="1" ht="15" x14ac:dyDescent="0.25">
      <c r="A466" s="673" t="s">
        <v>4232</v>
      </c>
      <c r="B466" s="674" t="s">
        <v>1114</v>
      </c>
      <c r="C466" s="674" t="s">
        <v>1289</v>
      </c>
      <c r="D466" s="674" t="s">
        <v>1175</v>
      </c>
      <c r="E466" s="675" t="s">
        <v>56</v>
      </c>
      <c r="F466" s="676" t="s">
        <v>4258</v>
      </c>
      <c r="G466" s="676" t="s">
        <v>4233</v>
      </c>
      <c r="H466" s="678">
        <v>3.0199400000000001</v>
      </c>
    </row>
    <row r="467" spans="1:8" customFormat="1" ht="15.75" thickBot="1" x14ac:dyDescent="0.3">
      <c r="A467" s="673" t="s">
        <v>4259</v>
      </c>
      <c r="B467" s="674" t="s">
        <v>1114</v>
      </c>
      <c r="C467" s="674" t="s">
        <v>1295</v>
      </c>
      <c r="D467" s="674" t="s">
        <v>1175</v>
      </c>
      <c r="E467" s="675" t="s">
        <v>56</v>
      </c>
      <c r="F467" s="676" t="s">
        <v>3711</v>
      </c>
      <c r="G467" s="676" t="s">
        <v>4260</v>
      </c>
      <c r="H467" s="677">
        <v>17.09</v>
      </c>
    </row>
    <row r="468" spans="1:8" customFormat="1" ht="15.75" thickTop="1" x14ac:dyDescent="0.25">
      <c r="A468" s="665"/>
      <c r="B468" s="666"/>
      <c r="C468" s="666"/>
      <c r="D468" s="666"/>
      <c r="E468" s="666"/>
      <c r="F468" s="666"/>
      <c r="G468" s="666"/>
      <c r="H468" s="667"/>
    </row>
    <row r="469" spans="1:8" customFormat="1" ht="15" x14ac:dyDescent="0.25">
      <c r="A469" s="668" t="s">
        <v>3457</v>
      </c>
      <c r="B469" s="669" t="s">
        <v>3697</v>
      </c>
      <c r="C469" s="669" t="s">
        <v>3460</v>
      </c>
      <c r="D469" s="669" t="s">
        <v>3462</v>
      </c>
      <c r="E469" s="670" t="s">
        <v>69</v>
      </c>
      <c r="F469" s="671" t="s">
        <v>63</v>
      </c>
      <c r="G469" s="671" t="s">
        <v>3720</v>
      </c>
      <c r="H469" s="672" t="s">
        <v>453</v>
      </c>
    </row>
    <row r="470" spans="1:8" s="658" customFormat="1" ht="22.5" x14ac:dyDescent="0.25">
      <c r="A470" s="653" t="s">
        <v>3563</v>
      </c>
      <c r="B470" s="654" t="s">
        <v>3702</v>
      </c>
      <c r="C470" s="654" t="s">
        <v>2099</v>
      </c>
      <c r="D470" s="654" t="s">
        <v>3463</v>
      </c>
      <c r="E470" s="655" t="s">
        <v>56</v>
      </c>
      <c r="F470" s="656">
        <v>1</v>
      </c>
      <c r="G470" s="656" t="s">
        <v>4261</v>
      </c>
      <c r="H470" s="657" t="s">
        <v>4261</v>
      </c>
    </row>
    <row r="471" spans="1:8" customFormat="1" ht="15" x14ac:dyDescent="0.25">
      <c r="A471" s="659" t="s">
        <v>3729</v>
      </c>
      <c r="B471" s="660" t="s">
        <v>1114</v>
      </c>
      <c r="C471" s="660" t="s">
        <v>1299</v>
      </c>
      <c r="D471" s="660" t="s">
        <v>3502</v>
      </c>
      <c r="E471" s="661" t="s">
        <v>1116</v>
      </c>
      <c r="F471" s="662" t="s">
        <v>4262</v>
      </c>
      <c r="G471" s="662" t="s">
        <v>3731</v>
      </c>
      <c r="H471" s="663">
        <v>0.64124999999999999</v>
      </c>
    </row>
    <row r="472" spans="1:8" customFormat="1" ht="15" x14ac:dyDescent="0.25">
      <c r="A472" s="659" t="s">
        <v>3732</v>
      </c>
      <c r="B472" s="660" t="s">
        <v>1114</v>
      </c>
      <c r="C472" s="660" t="s">
        <v>1287</v>
      </c>
      <c r="D472" s="660" t="s">
        <v>3502</v>
      </c>
      <c r="E472" s="661" t="s">
        <v>1116</v>
      </c>
      <c r="F472" s="662" t="s">
        <v>4262</v>
      </c>
      <c r="G472" s="662" t="s">
        <v>3734</v>
      </c>
      <c r="H472" s="663">
        <v>0.78659999999999997</v>
      </c>
    </row>
    <row r="473" spans="1:8" customFormat="1" ht="15" x14ac:dyDescent="0.25">
      <c r="A473" s="673" t="s">
        <v>4227</v>
      </c>
      <c r="B473" s="674" t="s">
        <v>1114</v>
      </c>
      <c r="C473" s="674" t="s">
        <v>1288</v>
      </c>
      <c r="D473" s="674" t="s">
        <v>1175</v>
      </c>
      <c r="E473" s="675" t="s">
        <v>56</v>
      </c>
      <c r="F473" s="676" t="s">
        <v>3850</v>
      </c>
      <c r="G473" s="676" t="s">
        <v>4229</v>
      </c>
      <c r="H473" s="678">
        <v>0.1129</v>
      </c>
    </row>
    <row r="474" spans="1:8" customFormat="1" ht="15" x14ac:dyDescent="0.25">
      <c r="A474" s="673" t="s">
        <v>4232</v>
      </c>
      <c r="B474" s="674" t="s">
        <v>1114</v>
      </c>
      <c r="C474" s="674" t="s">
        <v>1289</v>
      </c>
      <c r="D474" s="674" t="s">
        <v>1175</v>
      </c>
      <c r="E474" s="675" t="s">
        <v>56</v>
      </c>
      <c r="F474" s="676" t="s">
        <v>4247</v>
      </c>
      <c r="G474" s="676" t="s">
        <v>4233</v>
      </c>
      <c r="H474" s="678">
        <v>0.15687999999999999</v>
      </c>
    </row>
    <row r="475" spans="1:8" customFormat="1" ht="15.75" thickBot="1" x14ac:dyDescent="0.3">
      <c r="A475" s="673" t="s">
        <v>4263</v>
      </c>
      <c r="B475" s="674" t="s">
        <v>1114</v>
      </c>
      <c r="C475" s="674" t="s">
        <v>2099</v>
      </c>
      <c r="D475" s="674" t="s">
        <v>1175</v>
      </c>
      <c r="E475" s="675" t="s">
        <v>56</v>
      </c>
      <c r="F475" s="676" t="s">
        <v>3711</v>
      </c>
      <c r="G475" s="676" t="s">
        <v>3779</v>
      </c>
      <c r="H475" s="677">
        <v>1.19</v>
      </c>
    </row>
    <row r="476" spans="1:8" customFormat="1" ht="15.75" thickTop="1" x14ac:dyDescent="0.25">
      <c r="A476" s="665"/>
      <c r="B476" s="666"/>
      <c r="C476" s="666"/>
      <c r="D476" s="666"/>
      <c r="E476" s="666"/>
      <c r="F476" s="666"/>
      <c r="G476" s="666"/>
      <c r="H476" s="667"/>
    </row>
    <row r="477" spans="1:8" customFormat="1" ht="15" x14ac:dyDescent="0.25">
      <c r="A477" s="668" t="s">
        <v>3457</v>
      </c>
      <c r="B477" s="669" t="s">
        <v>3697</v>
      </c>
      <c r="C477" s="669" t="s">
        <v>3460</v>
      </c>
      <c r="D477" s="669" t="s">
        <v>3462</v>
      </c>
      <c r="E477" s="670" t="s">
        <v>69</v>
      </c>
      <c r="F477" s="671" t="s">
        <v>63</v>
      </c>
      <c r="G477" s="671" t="s">
        <v>3720</v>
      </c>
      <c r="H477" s="672" t="s">
        <v>453</v>
      </c>
    </row>
    <row r="478" spans="1:8" s="658" customFormat="1" ht="22.5" x14ac:dyDescent="0.25">
      <c r="A478" s="653" t="s">
        <v>4264</v>
      </c>
      <c r="B478" s="654" t="s">
        <v>3702</v>
      </c>
      <c r="C478" s="654" t="s">
        <v>3059</v>
      </c>
      <c r="D478" s="654" t="s">
        <v>3463</v>
      </c>
      <c r="E478" s="655" t="s">
        <v>56</v>
      </c>
      <c r="F478" s="656">
        <v>1</v>
      </c>
      <c r="G478" s="656" t="s">
        <v>4265</v>
      </c>
      <c r="H478" s="657" t="s">
        <v>4265</v>
      </c>
    </row>
    <row r="479" spans="1:8" customFormat="1" ht="15" x14ac:dyDescent="0.25">
      <c r="A479" s="659" t="s">
        <v>3737</v>
      </c>
      <c r="B479" s="660" t="s">
        <v>1114</v>
      </c>
      <c r="C479" s="660" t="s">
        <v>1134</v>
      </c>
      <c r="D479" s="660" t="s">
        <v>3502</v>
      </c>
      <c r="E479" s="661" t="s">
        <v>1116</v>
      </c>
      <c r="F479" s="662" t="s">
        <v>3962</v>
      </c>
      <c r="G479" s="662" t="s">
        <v>3739</v>
      </c>
      <c r="H479" s="663">
        <v>2.4984000000000002</v>
      </c>
    </row>
    <row r="480" spans="1:8" customFormat="1" ht="15" x14ac:dyDescent="0.25">
      <c r="A480" s="659" t="s">
        <v>3732</v>
      </c>
      <c r="B480" s="660" t="s">
        <v>1114</v>
      </c>
      <c r="C480" s="660" t="s">
        <v>1287</v>
      </c>
      <c r="D480" s="660" t="s">
        <v>3502</v>
      </c>
      <c r="E480" s="661" t="s">
        <v>1116</v>
      </c>
      <c r="F480" s="662" t="s">
        <v>3962</v>
      </c>
      <c r="G480" s="662" t="s">
        <v>3734</v>
      </c>
      <c r="H480" s="663">
        <v>3.1463999999999999</v>
      </c>
    </row>
    <row r="481" spans="1:8" customFormat="1" ht="15" x14ac:dyDescent="0.25">
      <c r="A481" s="673" t="s">
        <v>4227</v>
      </c>
      <c r="B481" s="674" t="s">
        <v>1114</v>
      </c>
      <c r="C481" s="674" t="s">
        <v>1288</v>
      </c>
      <c r="D481" s="674" t="s">
        <v>1175</v>
      </c>
      <c r="E481" s="675" t="s">
        <v>56</v>
      </c>
      <c r="F481" s="676" t="s">
        <v>4247</v>
      </c>
      <c r="G481" s="676" t="s">
        <v>4229</v>
      </c>
      <c r="H481" s="678">
        <v>0.18064</v>
      </c>
    </row>
    <row r="482" spans="1:8" customFormat="1" ht="15" x14ac:dyDescent="0.25">
      <c r="A482" s="673" t="s">
        <v>4266</v>
      </c>
      <c r="B482" s="674" t="s">
        <v>1114</v>
      </c>
      <c r="C482" s="674" t="s">
        <v>4267</v>
      </c>
      <c r="D482" s="674" t="s">
        <v>1175</v>
      </c>
      <c r="E482" s="675" t="s">
        <v>56</v>
      </c>
      <c r="F482" s="676" t="s">
        <v>3711</v>
      </c>
      <c r="G482" s="676" t="s">
        <v>4268</v>
      </c>
      <c r="H482" s="678">
        <v>2.2400000000000002</v>
      </c>
    </row>
    <row r="483" spans="1:8" customFormat="1" ht="15.75" thickBot="1" x14ac:dyDescent="0.3">
      <c r="A483" s="673" t="s">
        <v>4232</v>
      </c>
      <c r="B483" s="674" t="s">
        <v>1114</v>
      </c>
      <c r="C483" s="674" t="s">
        <v>1289</v>
      </c>
      <c r="D483" s="674" t="s">
        <v>1175</v>
      </c>
      <c r="E483" s="675" t="s">
        <v>56</v>
      </c>
      <c r="F483" s="676" t="s">
        <v>4252</v>
      </c>
      <c r="G483" s="676" t="s">
        <v>4233</v>
      </c>
      <c r="H483" s="677">
        <v>0.27454000000000001</v>
      </c>
    </row>
    <row r="484" spans="1:8" customFormat="1" ht="15.75" thickTop="1" x14ac:dyDescent="0.25">
      <c r="A484" s="665"/>
      <c r="B484" s="666"/>
      <c r="C484" s="666"/>
      <c r="D484" s="666"/>
      <c r="E484" s="666"/>
      <c r="F484" s="666"/>
      <c r="G484" s="666"/>
      <c r="H484" s="667"/>
    </row>
    <row r="485" spans="1:8" customFormat="1" ht="15" x14ac:dyDescent="0.25">
      <c r="A485" s="668" t="s">
        <v>3457</v>
      </c>
      <c r="B485" s="669" t="s">
        <v>3697</v>
      </c>
      <c r="C485" s="669" t="s">
        <v>3460</v>
      </c>
      <c r="D485" s="669" t="s">
        <v>3462</v>
      </c>
      <c r="E485" s="670" t="s">
        <v>69</v>
      </c>
      <c r="F485" s="671" t="s">
        <v>63</v>
      </c>
      <c r="G485" s="671" t="s">
        <v>3720</v>
      </c>
      <c r="H485" s="672" t="s">
        <v>453</v>
      </c>
    </row>
    <row r="486" spans="1:8" s="658" customFormat="1" ht="22.5" x14ac:dyDescent="0.25">
      <c r="A486" s="653" t="s">
        <v>3553</v>
      </c>
      <c r="B486" s="654" t="s">
        <v>3702</v>
      </c>
      <c r="C486" s="654" t="s">
        <v>2111</v>
      </c>
      <c r="D486" s="654" t="s">
        <v>3463</v>
      </c>
      <c r="E486" s="655" t="s">
        <v>56</v>
      </c>
      <c r="F486" s="656">
        <v>1</v>
      </c>
      <c r="G486" s="656" t="s">
        <v>4269</v>
      </c>
      <c r="H486" s="657" t="s">
        <v>4269</v>
      </c>
    </row>
    <row r="487" spans="1:8" customFormat="1" ht="15" x14ac:dyDescent="0.25">
      <c r="A487" s="659" t="s">
        <v>3737</v>
      </c>
      <c r="B487" s="660" t="s">
        <v>1114</v>
      </c>
      <c r="C487" s="660" t="s">
        <v>1134</v>
      </c>
      <c r="D487" s="660" t="s">
        <v>3502</v>
      </c>
      <c r="E487" s="661" t="s">
        <v>1116</v>
      </c>
      <c r="F487" s="662" t="s">
        <v>4270</v>
      </c>
      <c r="G487" s="662" t="s">
        <v>3739</v>
      </c>
      <c r="H487" s="663">
        <v>3.1924000000000001</v>
      </c>
    </row>
    <row r="488" spans="1:8" customFormat="1" ht="15" x14ac:dyDescent="0.25">
      <c r="A488" s="659" t="s">
        <v>3732</v>
      </c>
      <c r="B488" s="660" t="s">
        <v>1114</v>
      </c>
      <c r="C488" s="660" t="s">
        <v>1287</v>
      </c>
      <c r="D488" s="660" t="s">
        <v>3502</v>
      </c>
      <c r="E488" s="661" t="s">
        <v>1116</v>
      </c>
      <c r="F488" s="662" t="s">
        <v>4270</v>
      </c>
      <c r="G488" s="662" t="s">
        <v>3734</v>
      </c>
      <c r="H488" s="663">
        <v>4.0204000000000004</v>
      </c>
    </row>
    <row r="489" spans="1:8" customFormat="1" ht="15" x14ac:dyDescent="0.25">
      <c r="A489" s="673" t="s">
        <v>4227</v>
      </c>
      <c r="B489" s="674" t="s">
        <v>1114</v>
      </c>
      <c r="C489" s="674" t="s">
        <v>1288</v>
      </c>
      <c r="D489" s="674" t="s">
        <v>1175</v>
      </c>
      <c r="E489" s="675" t="s">
        <v>56</v>
      </c>
      <c r="F489" s="676" t="s">
        <v>3836</v>
      </c>
      <c r="G489" s="676" t="s">
        <v>4229</v>
      </c>
      <c r="H489" s="678">
        <v>0.13547999999999999</v>
      </c>
    </row>
    <row r="490" spans="1:8" customFormat="1" ht="15" x14ac:dyDescent="0.25">
      <c r="A490" s="673" t="s">
        <v>4232</v>
      </c>
      <c r="B490" s="674" t="s">
        <v>1114</v>
      </c>
      <c r="C490" s="674" t="s">
        <v>1289</v>
      </c>
      <c r="D490" s="674" t="s">
        <v>1175</v>
      </c>
      <c r="E490" s="675" t="s">
        <v>56</v>
      </c>
      <c r="F490" s="676" t="s">
        <v>4271</v>
      </c>
      <c r="G490" s="676" t="s">
        <v>4233</v>
      </c>
      <c r="H490" s="678">
        <v>1.64724</v>
      </c>
    </row>
    <row r="491" spans="1:8" customFormat="1" ht="15.75" thickBot="1" x14ac:dyDescent="0.3">
      <c r="A491" s="673" t="s">
        <v>4272</v>
      </c>
      <c r="B491" s="674" t="s">
        <v>1114</v>
      </c>
      <c r="C491" s="674" t="s">
        <v>2112</v>
      </c>
      <c r="D491" s="674" t="s">
        <v>1175</v>
      </c>
      <c r="E491" s="675" t="s">
        <v>56</v>
      </c>
      <c r="F491" s="676" t="s">
        <v>3711</v>
      </c>
      <c r="G491" s="676" t="s">
        <v>4273</v>
      </c>
      <c r="H491" s="677">
        <v>3.09</v>
      </c>
    </row>
    <row r="492" spans="1:8" customFormat="1" ht="15.75" thickTop="1" x14ac:dyDescent="0.25">
      <c r="A492" s="665"/>
      <c r="B492" s="666"/>
      <c r="C492" s="666"/>
      <c r="D492" s="666"/>
      <c r="E492" s="666"/>
      <c r="F492" s="666"/>
      <c r="G492" s="666"/>
      <c r="H492" s="667"/>
    </row>
    <row r="493" spans="1:8" customFormat="1" ht="15" x14ac:dyDescent="0.25">
      <c r="A493" s="668" t="s">
        <v>3457</v>
      </c>
      <c r="B493" s="669" t="s">
        <v>3697</v>
      </c>
      <c r="C493" s="669" t="s">
        <v>3460</v>
      </c>
      <c r="D493" s="669" t="s">
        <v>3462</v>
      </c>
      <c r="E493" s="670" t="s">
        <v>69</v>
      </c>
      <c r="F493" s="671" t="s">
        <v>63</v>
      </c>
      <c r="G493" s="671" t="s">
        <v>3720</v>
      </c>
      <c r="H493" s="672" t="s">
        <v>453</v>
      </c>
    </row>
    <row r="494" spans="1:8" s="658" customFormat="1" ht="22.5" x14ac:dyDescent="0.25">
      <c r="A494" s="653" t="s">
        <v>4274</v>
      </c>
      <c r="B494" s="654" t="s">
        <v>3702</v>
      </c>
      <c r="C494" s="654" t="s">
        <v>851</v>
      </c>
      <c r="D494" s="654" t="s">
        <v>3463</v>
      </c>
      <c r="E494" s="655" t="s">
        <v>56</v>
      </c>
      <c r="F494" s="656">
        <v>1</v>
      </c>
      <c r="G494" s="656" t="s">
        <v>4275</v>
      </c>
      <c r="H494" s="657" t="s">
        <v>4275</v>
      </c>
    </row>
    <row r="495" spans="1:8" customFormat="1" ht="15" x14ac:dyDescent="0.25">
      <c r="A495" s="659" t="s">
        <v>3729</v>
      </c>
      <c r="B495" s="660" t="s">
        <v>1114</v>
      </c>
      <c r="C495" s="660" t="s">
        <v>1299</v>
      </c>
      <c r="D495" s="660" t="s">
        <v>3502</v>
      </c>
      <c r="E495" s="661" t="s">
        <v>1116</v>
      </c>
      <c r="F495" s="662" t="s">
        <v>4276</v>
      </c>
      <c r="G495" s="662" t="s">
        <v>3731</v>
      </c>
      <c r="H495" s="663">
        <v>2.052</v>
      </c>
    </row>
    <row r="496" spans="1:8" customFormat="1" ht="15" x14ac:dyDescent="0.25">
      <c r="A496" s="659" t="s">
        <v>3732</v>
      </c>
      <c r="B496" s="660" t="s">
        <v>1114</v>
      </c>
      <c r="C496" s="660" t="s">
        <v>1287</v>
      </c>
      <c r="D496" s="660" t="s">
        <v>3502</v>
      </c>
      <c r="E496" s="661" t="s">
        <v>1116</v>
      </c>
      <c r="F496" s="662" t="s">
        <v>4276</v>
      </c>
      <c r="G496" s="662" t="s">
        <v>3734</v>
      </c>
      <c r="H496" s="663">
        <v>2.5171199999999998</v>
      </c>
    </row>
    <row r="497" spans="1:8" customFormat="1" ht="15" x14ac:dyDescent="0.25">
      <c r="A497" s="673" t="s">
        <v>4227</v>
      </c>
      <c r="B497" s="674" t="s">
        <v>1114</v>
      </c>
      <c r="C497" s="674" t="s">
        <v>1288</v>
      </c>
      <c r="D497" s="674" t="s">
        <v>1175</v>
      </c>
      <c r="E497" s="675" t="s">
        <v>56</v>
      </c>
      <c r="F497" s="676" t="s">
        <v>4277</v>
      </c>
      <c r="G497" s="676" t="s">
        <v>4229</v>
      </c>
      <c r="H497" s="678">
        <v>1.1741599999999999</v>
      </c>
    </row>
    <row r="498" spans="1:8" customFormat="1" ht="15" x14ac:dyDescent="0.25">
      <c r="A498" s="673" t="s">
        <v>4278</v>
      </c>
      <c r="B498" s="674" t="s">
        <v>1114</v>
      </c>
      <c r="C498" s="674" t="s">
        <v>2117</v>
      </c>
      <c r="D498" s="674" t="s">
        <v>1175</v>
      </c>
      <c r="E498" s="675" t="s">
        <v>56</v>
      </c>
      <c r="F498" s="676" t="s">
        <v>3711</v>
      </c>
      <c r="G498" s="676" t="s">
        <v>4279</v>
      </c>
      <c r="H498" s="678">
        <v>64.739999999999995</v>
      </c>
    </row>
    <row r="499" spans="1:8" customFormat="1" ht="15" x14ac:dyDescent="0.25">
      <c r="A499" s="673" t="s">
        <v>4232</v>
      </c>
      <c r="B499" s="674" t="s">
        <v>1114</v>
      </c>
      <c r="C499" s="674" t="s">
        <v>1289</v>
      </c>
      <c r="D499" s="674" t="s">
        <v>1175</v>
      </c>
      <c r="E499" s="675" t="s">
        <v>56</v>
      </c>
      <c r="F499" s="676" t="s">
        <v>4280</v>
      </c>
      <c r="G499" s="676" t="s">
        <v>4233</v>
      </c>
      <c r="H499" s="678">
        <v>1.29426</v>
      </c>
    </row>
    <row r="500" spans="1:8" customFormat="1" ht="15.75" thickBot="1" x14ac:dyDescent="0.3">
      <c r="A500" s="673" t="s">
        <v>4281</v>
      </c>
      <c r="B500" s="674" t="s">
        <v>1114</v>
      </c>
      <c r="C500" s="674" t="s">
        <v>1290</v>
      </c>
      <c r="D500" s="674" t="s">
        <v>1175</v>
      </c>
      <c r="E500" s="675" t="s">
        <v>56</v>
      </c>
      <c r="F500" s="676" t="s">
        <v>4282</v>
      </c>
      <c r="G500" s="676" t="s">
        <v>4283</v>
      </c>
      <c r="H500" s="677">
        <v>5.4719999999999998E-2</v>
      </c>
    </row>
    <row r="501" spans="1:8" customFormat="1" ht="15.75" thickTop="1" x14ac:dyDescent="0.25">
      <c r="A501" s="665"/>
      <c r="B501" s="666"/>
      <c r="C501" s="666"/>
      <c r="D501" s="666"/>
      <c r="E501" s="666"/>
      <c r="F501" s="666"/>
      <c r="G501" s="666"/>
      <c r="H501" s="667"/>
    </row>
    <row r="502" spans="1:8" customFormat="1" ht="15" x14ac:dyDescent="0.25">
      <c r="A502" s="668" t="s">
        <v>3457</v>
      </c>
      <c r="B502" s="669" t="s">
        <v>3697</v>
      </c>
      <c r="C502" s="669" t="s">
        <v>3460</v>
      </c>
      <c r="D502" s="669" t="s">
        <v>3462</v>
      </c>
      <c r="E502" s="670" t="s">
        <v>69</v>
      </c>
      <c r="F502" s="671" t="s">
        <v>63</v>
      </c>
      <c r="G502" s="671" t="s">
        <v>3720</v>
      </c>
      <c r="H502" s="672" t="s">
        <v>453</v>
      </c>
    </row>
    <row r="503" spans="1:8" s="658" customFormat="1" ht="22.5" x14ac:dyDescent="0.25">
      <c r="A503" s="653" t="s">
        <v>3551</v>
      </c>
      <c r="B503" s="654" t="s">
        <v>3702</v>
      </c>
      <c r="C503" s="654" t="s">
        <v>2119</v>
      </c>
      <c r="D503" s="654" t="s">
        <v>3463</v>
      </c>
      <c r="E503" s="655" t="s">
        <v>56</v>
      </c>
      <c r="F503" s="656">
        <v>1</v>
      </c>
      <c r="G503" s="656" t="s">
        <v>4284</v>
      </c>
      <c r="H503" s="657" t="s">
        <v>4284</v>
      </c>
    </row>
    <row r="504" spans="1:8" customFormat="1" ht="15" x14ac:dyDescent="0.25">
      <c r="A504" s="659" t="s">
        <v>3737</v>
      </c>
      <c r="B504" s="660" t="s">
        <v>1114</v>
      </c>
      <c r="C504" s="660" t="s">
        <v>1134</v>
      </c>
      <c r="D504" s="660" t="s">
        <v>3502</v>
      </c>
      <c r="E504" s="661" t="s">
        <v>1116</v>
      </c>
      <c r="F504" s="662" t="s">
        <v>4285</v>
      </c>
      <c r="G504" s="662" t="s">
        <v>3739</v>
      </c>
      <c r="H504" s="663">
        <v>3.0536000000000003</v>
      </c>
    </row>
    <row r="505" spans="1:8" customFormat="1" ht="15" x14ac:dyDescent="0.25">
      <c r="A505" s="659" t="s">
        <v>3732</v>
      </c>
      <c r="B505" s="660" t="s">
        <v>1114</v>
      </c>
      <c r="C505" s="660" t="s">
        <v>1287</v>
      </c>
      <c r="D505" s="660" t="s">
        <v>3502</v>
      </c>
      <c r="E505" s="661" t="s">
        <v>1116</v>
      </c>
      <c r="F505" s="662" t="s">
        <v>4285</v>
      </c>
      <c r="G505" s="662" t="s">
        <v>3734</v>
      </c>
      <c r="H505" s="663">
        <v>3.8456000000000001</v>
      </c>
    </row>
    <row r="506" spans="1:8" customFormat="1" ht="15" x14ac:dyDescent="0.25">
      <c r="A506" s="673" t="s">
        <v>4286</v>
      </c>
      <c r="B506" s="674" t="s">
        <v>1114</v>
      </c>
      <c r="C506" s="674" t="s">
        <v>1305</v>
      </c>
      <c r="D506" s="674" t="s">
        <v>1175</v>
      </c>
      <c r="E506" s="675" t="s">
        <v>56</v>
      </c>
      <c r="F506" s="676" t="s">
        <v>4287</v>
      </c>
      <c r="G506" s="676" t="s">
        <v>4288</v>
      </c>
      <c r="H506" s="678">
        <v>0.12759599999999999</v>
      </c>
    </row>
    <row r="507" spans="1:8" customFormat="1" ht="23.25" thickBot="1" x14ac:dyDescent="0.3">
      <c r="A507" s="673" t="s">
        <v>4289</v>
      </c>
      <c r="B507" s="674" t="s">
        <v>1114</v>
      </c>
      <c r="C507" s="674" t="s">
        <v>2120</v>
      </c>
      <c r="D507" s="674" t="s">
        <v>1175</v>
      </c>
      <c r="E507" s="675" t="s">
        <v>56</v>
      </c>
      <c r="F507" s="676" t="s">
        <v>3711</v>
      </c>
      <c r="G507" s="676" t="s">
        <v>4290</v>
      </c>
      <c r="H507" s="677">
        <v>5.59</v>
      </c>
    </row>
    <row r="508" spans="1:8" customFormat="1" ht="15.75" thickTop="1" x14ac:dyDescent="0.25">
      <c r="A508" s="665"/>
      <c r="B508" s="666"/>
      <c r="C508" s="666"/>
      <c r="D508" s="666"/>
      <c r="E508" s="666"/>
      <c r="F508" s="666"/>
      <c r="G508" s="666"/>
      <c r="H508" s="667"/>
    </row>
    <row r="509" spans="1:8" customFormat="1" ht="15" x14ac:dyDescent="0.25">
      <c r="A509" s="668" t="s">
        <v>3457</v>
      </c>
      <c r="B509" s="669" t="s">
        <v>3697</v>
      </c>
      <c r="C509" s="669" t="s">
        <v>3460</v>
      </c>
      <c r="D509" s="669" t="s">
        <v>3462</v>
      </c>
      <c r="E509" s="670" t="s">
        <v>69</v>
      </c>
      <c r="F509" s="671" t="s">
        <v>63</v>
      </c>
      <c r="G509" s="671" t="s">
        <v>3720</v>
      </c>
      <c r="H509" s="672" t="s">
        <v>453</v>
      </c>
    </row>
    <row r="510" spans="1:8" s="658" customFormat="1" ht="22.5" x14ac:dyDescent="0.25">
      <c r="A510" s="653" t="s">
        <v>4291</v>
      </c>
      <c r="B510" s="654" t="s">
        <v>3702</v>
      </c>
      <c r="C510" s="654" t="s">
        <v>3340</v>
      </c>
      <c r="D510" s="654" t="s">
        <v>3482</v>
      </c>
      <c r="E510" s="655" t="s">
        <v>1994</v>
      </c>
      <c r="F510" s="656">
        <v>1</v>
      </c>
      <c r="G510" s="656" t="s">
        <v>4292</v>
      </c>
      <c r="H510" s="657" t="s">
        <v>4292</v>
      </c>
    </row>
    <row r="511" spans="1:8" customFormat="1" ht="22.5" x14ac:dyDescent="0.25">
      <c r="A511" s="659" t="s">
        <v>4293</v>
      </c>
      <c r="B511" s="660" t="s">
        <v>1114</v>
      </c>
      <c r="C511" s="660" t="s">
        <v>4294</v>
      </c>
      <c r="D511" s="660" t="s">
        <v>3482</v>
      </c>
      <c r="E511" s="661" t="s">
        <v>273</v>
      </c>
      <c r="F511" s="662" t="s">
        <v>4295</v>
      </c>
      <c r="G511" s="662" t="s">
        <v>4296</v>
      </c>
      <c r="H511" s="663">
        <v>5144.2926000000007</v>
      </c>
    </row>
    <row r="512" spans="1:8" customFormat="1" ht="22.5" x14ac:dyDescent="0.25">
      <c r="A512" s="659" t="s">
        <v>4297</v>
      </c>
      <c r="B512" s="660" t="s">
        <v>1114</v>
      </c>
      <c r="C512" s="660" t="s">
        <v>2123</v>
      </c>
      <c r="D512" s="660" t="s">
        <v>3482</v>
      </c>
      <c r="E512" s="661" t="s">
        <v>273</v>
      </c>
      <c r="F512" s="662" t="s">
        <v>4295</v>
      </c>
      <c r="G512" s="662" t="s">
        <v>4298</v>
      </c>
      <c r="H512" s="663">
        <v>1561.8008</v>
      </c>
    </row>
    <row r="513" spans="1:8" customFormat="1" ht="22.5" x14ac:dyDescent="0.25">
      <c r="A513" s="659" t="s">
        <v>4299</v>
      </c>
      <c r="B513" s="660" t="s">
        <v>1114</v>
      </c>
      <c r="C513" s="660" t="s">
        <v>506</v>
      </c>
      <c r="D513" s="660" t="s">
        <v>3498</v>
      </c>
      <c r="E513" s="661" t="s">
        <v>273</v>
      </c>
      <c r="F513" s="662" t="s">
        <v>4300</v>
      </c>
      <c r="G513" s="662" t="s">
        <v>4301</v>
      </c>
      <c r="H513" s="663">
        <v>324.55799999999999</v>
      </c>
    </row>
    <row r="514" spans="1:8" customFormat="1" ht="22.5" x14ac:dyDescent="0.25">
      <c r="A514" s="659" t="s">
        <v>4302</v>
      </c>
      <c r="B514" s="660" t="s">
        <v>1114</v>
      </c>
      <c r="C514" s="660" t="s">
        <v>4303</v>
      </c>
      <c r="D514" s="660" t="s">
        <v>3482</v>
      </c>
      <c r="E514" s="661" t="s">
        <v>106</v>
      </c>
      <c r="F514" s="662" t="s">
        <v>4304</v>
      </c>
      <c r="G514" s="662" t="s">
        <v>4305</v>
      </c>
      <c r="H514" s="663">
        <v>3888.7788999999998</v>
      </c>
    </row>
    <row r="515" spans="1:8" customFormat="1" ht="33.75" x14ac:dyDescent="0.25">
      <c r="A515" s="659" t="s">
        <v>4110</v>
      </c>
      <c r="B515" s="660" t="s">
        <v>1114</v>
      </c>
      <c r="C515" s="660" t="s">
        <v>2738</v>
      </c>
      <c r="D515" s="660" t="s">
        <v>3489</v>
      </c>
      <c r="E515" s="661" t="s">
        <v>106</v>
      </c>
      <c r="F515" s="662" t="s">
        <v>4306</v>
      </c>
      <c r="G515" s="662" t="s">
        <v>4111</v>
      </c>
      <c r="H515" s="663">
        <v>22.937600000000003</v>
      </c>
    </row>
    <row r="516" spans="1:8" customFormat="1" ht="45" x14ac:dyDescent="0.25">
      <c r="A516" s="659" t="s">
        <v>4153</v>
      </c>
      <c r="B516" s="660" t="s">
        <v>1114</v>
      </c>
      <c r="C516" s="660" t="s">
        <v>771</v>
      </c>
      <c r="D516" s="660" t="s">
        <v>3489</v>
      </c>
      <c r="E516" s="661" t="s">
        <v>106</v>
      </c>
      <c r="F516" s="662" t="s">
        <v>4306</v>
      </c>
      <c r="G516" s="662" t="s">
        <v>4155</v>
      </c>
      <c r="H516" s="663">
        <v>206.88640000000001</v>
      </c>
    </row>
    <row r="517" spans="1:8" customFormat="1" ht="33.75" x14ac:dyDescent="0.25">
      <c r="A517" s="659" t="s">
        <v>4219</v>
      </c>
      <c r="B517" s="660" t="s">
        <v>1114</v>
      </c>
      <c r="C517" s="660" t="s">
        <v>784</v>
      </c>
      <c r="D517" s="660" t="s">
        <v>3500</v>
      </c>
      <c r="E517" s="661" t="s">
        <v>106</v>
      </c>
      <c r="F517" s="662" t="s">
        <v>3980</v>
      </c>
      <c r="G517" s="662" t="s">
        <v>4221</v>
      </c>
      <c r="H517" s="663">
        <v>1387.9260000000002</v>
      </c>
    </row>
    <row r="518" spans="1:8" customFormat="1" ht="33.75" x14ac:dyDescent="0.25">
      <c r="A518" s="659" t="s">
        <v>4307</v>
      </c>
      <c r="B518" s="660" t="s">
        <v>1114</v>
      </c>
      <c r="C518" s="660" t="s">
        <v>644</v>
      </c>
      <c r="D518" s="660" t="s">
        <v>3572</v>
      </c>
      <c r="E518" s="661" t="s">
        <v>106</v>
      </c>
      <c r="F518" s="662" t="s">
        <v>4308</v>
      </c>
      <c r="G518" s="662" t="s">
        <v>4309</v>
      </c>
      <c r="H518" s="663">
        <v>258.5856</v>
      </c>
    </row>
    <row r="519" spans="1:8" customFormat="1" ht="33.75" x14ac:dyDescent="0.25">
      <c r="A519" s="659" t="s">
        <v>4310</v>
      </c>
      <c r="B519" s="660" t="s">
        <v>1114</v>
      </c>
      <c r="C519" s="660" t="s">
        <v>4311</v>
      </c>
      <c r="D519" s="660" t="s">
        <v>3500</v>
      </c>
      <c r="E519" s="661" t="s">
        <v>99</v>
      </c>
      <c r="F519" s="662" t="s">
        <v>3980</v>
      </c>
      <c r="G519" s="662" t="s">
        <v>4312</v>
      </c>
      <c r="H519" s="663">
        <v>93.834000000000003</v>
      </c>
    </row>
    <row r="520" spans="1:8" customFormat="1" ht="15" x14ac:dyDescent="0.25">
      <c r="A520" s="659" t="s">
        <v>4313</v>
      </c>
      <c r="B520" s="660" t="s">
        <v>1114</v>
      </c>
      <c r="C520" s="660" t="s">
        <v>825</v>
      </c>
      <c r="D520" s="660" t="s">
        <v>3495</v>
      </c>
      <c r="E520" s="661" t="s">
        <v>106</v>
      </c>
      <c r="F520" s="662" t="s">
        <v>4306</v>
      </c>
      <c r="G520" s="662" t="s">
        <v>4314</v>
      </c>
      <c r="H520" s="663">
        <v>13.977600000000002</v>
      </c>
    </row>
    <row r="521" spans="1:8" customFormat="1" ht="22.5" x14ac:dyDescent="0.25">
      <c r="A521" s="659" t="s">
        <v>4315</v>
      </c>
      <c r="B521" s="660" t="s">
        <v>1114</v>
      </c>
      <c r="C521" s="660" t="s">
        <v>780</v>
      </c>
      <c r="D521" s="660" t="s">
        <v>3495</v>
      </c>
      <c r="E521" s="661" t="s">
        <v>106</v>
      </c>
      <c r="F521" s="662" t="s">
        <v>4306</v>
      </c>
      <c r="G521" s="662" t="s">
        <v>4316</v>
      </c>
      <c r="H521" s="663">
        <v>93.452800000000011</v>
      </c>
    </row>
    <row r="522" spans="1:8" customFormat="1" ht="33.75" x14ac:dyDescent="0.25">
      <c r="A522" s="659" t="s">
        <v>3486</v>
      </c>
      <c r="B522" s="660" t="s">
        <v>3702</v>
      </c>
      <c r="C522" s="660" t="s">
        <v>522</v>
      </c>
      <c r="D522" s="660" t="s">
        <v>3482</v>
      </c>
      <c r="E522" s="661" t="s">
        <v>92</v>
      </c>
      <c r="F522" s="662" t="s">
        <v>4317</v>
      </c>
      <c r="G522" s="662" t="s">
        <v>3781</v>
      </c>
      <c r="H522" s="663">
        <v>2490</v>
      </c>
    </row>
    <row r="523" spans="1:8" customFormat="1" ht="33.75" x14ac:dyDescent="0.25">
      <c r="A523" s="659" t="s">
        <v>3487</v>
      </c>
      <c r="B523" s="660" t="s">
        <v>3702</v>
      </c>
      <c r="C523" s="660" t="s">
        <v>524</v>
      </c>
      <c r="D523" s="660" t="s">
        <v>3482</v>
      </c>
      <c r="E523" s="661" t="s">
        <v>92</v>
      </c>
      <c r="F523" s="662" t="s">
        <v>4318</v>
      </c>
      <c r="G523" s="662" t="s">
        <v>3787</v>
      </c>
      <c r="H523" s="663">
        <v>5035.6674000000003</v>
      </c>
    </row>
    <row r="524" spans="1:8" customFormat="1" ht="33.75" x14ac:dyDescent="0.25">
      <c r="A524" s="659" t="s">
        <v>3484</v>
      </c>
      <c r="B524" s="660" t="s">
        <v>3702</v>
      </c>
      <c r="C524" s="660" t="s">
        <v>518</v>
      </c>
      <c r="D524" s="660" t="s">
        <v>3482</v>
      </c>
      <c r="E524" s="661" t="s">
        <v>92</v>
      </c>
      <c r="F524" s="662" t="s">
        <v>4319</v>
      </c>
      <c r="G524" s="662" t="s">
        <v>3799</v>
      </c>
      <c r="H524" s="663">
        <v>8762.17</v>
      </c>
    </row>
    <row r="525" spans="1:8" customFormat="1" ht="33.75" x14ac:dyDescent="0.25">
      <c r="A525" s="659" t="s">
        <v>3539</v>
      </c>
      <c r="B525" s="660" t="s">
        <v>3702</v>
      </c>
      <c r="C525" s="660" t="s">
        <v>2763</v>
      </c>
      <c r="D525" s="660" t="s">
        <v>3482</v>
      </c>
      <c r="E525" s="661" t="s">
        <v>92</v>
      </c>
      <c r="F525" s="662" t="s">
        <v>4320</v>
      </c>
      <c r="G525" s="662" t="s">
        <v>4321</v>
      </c>
      <c r="H525" s="663">
        <v>578.86399999999992</v>
      </c>
    </row>
    <row r="526" spans="1:8" customFormat="1" ht="22.5" x14ac:dyDescent="0.25">
      <c r="A526" s="659" t="s">
        <v>4322</v>
      </c>
      <c r="B526" s="660" t="s">
        <v>1114</v>
      </c>
      <c r="C526" s="660" t="s">
        <v>4323</v>
      </c>
      <c r="D526" s="660" t="s">
        <v>3498</v>
      </c>
      <c r="E526" s="661" t="s">
        <v>273</v>
      </c>
      <c r="F526" s="662" t="s">
        <v>4324</v>
      </c>
      <c r="G526" s="662" t="s">
        <v>4325</v>
      </c>
      <c r="H526" s="663">
        <v>238.37860000000001</v>
      </c>
    </row>
    <row r="527" spans="1:8" customFormat="1" ht="22.5" x14ac:dyDescent="0.25">
      <c r="A527" s="659" t="s">
        <v>4326</v>
      </c>
      <c r="B527" s="660" t="s">
        <v>1114</v>
      </c>
      <c r="C527" s="660" t="s">
        <v>4327</v>
      </c>
      <c r="D527" s="660" t="s">
        <v>3498</v>
      </c>
      <c r="E527" s="661" t="s">
        <v>273</v>
      </c>
      <c r="F527" s="662" t="s">
        <v>4328</v>
      </c>
      <c r="G527" s="662" t="s">
        <v>4329</v>
      </c>
      <c r="H527" s="663">
        <v>903.39559999999994</v>
      </c>
    </row>
    <row r="528" spans="1:8" customFormat="1" ht="33.75" x14ac:dyDescent="0.25">
      <c r="A528" s="659" t="s">
        <v>4330</v>
      </c>
      <c r="B528" s="660" t="s">
        <v>1114</v>
      </c>
      <c r="C528" s="660" t="s">
        <v>507</v>
      </c>
      <c r="D528" s="660" t="s">
        <v>3498</v>
      </c>
      <c r="E528" s="661" t="s">
        <v>273</v>
      </c>
      <c r="F528" s="662" t="s">
        <v>4331</v>
      </c>
      <c r="G528" s="662" t="s">
        <v>4206</v>
      </c>
      <c r="H528" s="663">
        <v>109.1952</v>
      </c>
    </row>
    <row r="529" spans="1:8" customFormat="1" ht="22.5" x14ac:dyDescent="0.25">
      <c r="A529" s="659" t="s">
        <v>4332</v>
      </c>
      <c r="B529" s="660" t="s">
        <v>1114</v>
      </c>
      <c r="C529" s="660" t="s">
        <v>509</v>
      </c>
      <c r="D529" s="660" t="s">
        <v>3498</v>
      </c>
      <c r="E529" s="661" t="s">
        <v>2696</v>
      </c>
      <c r="F529" s="662" t="s">
        <v>4333</v>
      </c>
      <c r="G529" s="662" t="s">
        <v>4334</v>
      </c>
      <c r="H529" s="663">
        <v>909.95999999999992</v>
      </c>
    </row>
    <row r="530" spans="1:8" customFormat="1" ht="22.5" x14ac:dyDescent="0.25">
      <c r="A530" s="659" t="s">
        <v>4335</v>
      </c>
      <c r="B530" s="660" t="s">
        <v>1114</v>
      </c>
      <c r="C530" s="660" t="s">
        <v>504</v>
      </c>
      <c r="D530" s="660" t="s">
        <v>3498</v>
      </c>
      <c r="E530" s="661" t="s">
        <v>106</v>
      </c>
      <c r="F530" s="662" t="s">
        <v>4336</v>
      </c>
      <c r="G530" s="662" t="s">
        <v>4337</v>
      </c>
      <c r="H530" s="663">
        <v>141.32579999999999</v>
      </c>
    </row>
    <row r="531" spans="1:8" customFormat="1" ht="22.5" x14ac:dyDescent="0.25">
      <c r="A531" s="659" t="s">
        <v>4338</v>
      </c>
      <c r="B531" s="660" t="s">
        <v>1114</v>
      </c>
      <c r="C531" s="660" t="s">
        <v>4339</v>
      </c>
      <c r="D531" s="660" t="s">
        <v>3482</v>
      </c>
      <c r="E531" s="661" t="s">
        <v>273</v>
      </c>
      <c r="F531" s="662" t="s">
        <v>4340</v>
      </c>
      <c r="G531" s="662" t="s">
        <v>4341</v>
      </c>
      <c r="H531" s="663">
        <v>279.81799999999998</v>
      </c>
    </row>
    <row r="532" spans="1:8" customFormat="1" ht="22.5" x14ac:dyDescent="0.25">
      <c r="A532" s="659" t="s">
        <v>4342</v>
      </c>
      <c r="B532" s="660" t="s">
        <v>1114</v>
      </c>
      <c r="C532" s="660" t="s">
        <v>4343</v>
      </c>
      <c r="D532" s="660" t="s">
        <v>4344</v>
      </c>
      <c r="E532" s="661" t="s">
        <v>106</v>
      </c>
      <c r="F532" s="662" t="s">
        <v>4345</v>
      </c>
      <c r="G532" s="662" t="s">
        <v>4346</v>
      </c>
      <c r="H532" s="663">
        <v>3232.4040000000005</v>
      </c>
    </row>
    <row r="533" spans="1:8" customFormat="1" ht="33.75" x14ac:dyDescent="0.25">
      <c r="A533" s="659" t="s">
        <v>4347</v>
      </c>
      <c r="B533" s="660" t="s">
        <v>1114</v>
      </c>
      <c r="C533" s="660" t="s">
        <v>532</v>
      </c>
      <c r="D533" s="660" t="s">
        <v>3482</v>
      </c>
      <c r="E533" s="661" t="s">
        <v>106</v>
      </c>
      <c r="F533" s="662" t="s">
        <v>4348</v>
      </c>
      <c r="G533" s="662" t="s">
        <v>4349</v>
      </c>
      <c r="H533" s="663">
        <v>717.36000000000013</v>
      </c>
    </row>
    <row r="534" spans="1:8" customFormat="1" ht="22.5" x14ac:dyDescent="0.25">
      <c r="A534" s="659" t="s">
        <v>4350</v>
      </c>
      <c r="B534" s="660" t="s">
        <v>1114</v>
      </c>
      <c r="C534" s="660" t="s">
        <v>4351</v>
      </c>
      <c r="D534" s="660" t="s">
        <v>3482</v>
      </c>
      <c r="E534" s="661" t="s">
        <v>106</v>
      </c>
      <c r="F534" s="662" t="s">
        <v>4352</v>
      </c>
      <c r="G534" s="662" t="s">
        <v>4353</v>
      </c>
      <c r="H534" s="663">
        <v>565.38300000000004</v>
      </c>
    </row>
    <row r="535" spans="1:8" customFormat="1" ht="22.5" x14ac:dyDescent="0.25">
      <c r="A535" s="659" t="s">
        <v>3480</v>
      </c>
      <c r="B535" s="660" t="s">
        <v>3702</v>
      </c>
      <c r="C535" s="660" t="s">
        <v>515</v>
      </c>
      <c r="D535" s="660" t="s">
        <v>3482</v>
      </c>
      <c r="E535" s="661" t="s">
        <v>273</v>
      </c>
      <c r="F535" s="662" t="s">
        <v>4354</v>
      </c>
      <c r="G535" s="662" t="s">
        <v>3806</v>
      </c>
      <c r="H535" s="663">
        <v>465.59440000000001</v>
      </c>
    </row>
    <row r="536" spans="1:8" customFormat="1" ht="22.5" x14ac:dyDescent="0.25">
      <c r="A536" s="659" t="s">
        <v>4130</v>
      </c>
      <c r="B536" s="660" t="s">
        <v>1114</v>
      </c>
      <c r="C536" s="660" t="s">
        <v>540</v>
      </c>
      <c r="D536" s="660" t="s">
        <v>3482</v>
      </c>
      <c r="E536" s="661" t="s">
        <v>273</v>
      </c>
      <c r="F536" s="662" t="s">
        <v>4354</v>
      </c>
      <c r="G536" s="662" t="s">
        <v>4131</v>
      </c>
      <c r="H536" s="663">
        <v>226.38240000000002</v>
      </c>
    </row>
    <row r="537" spans="1:8" customFormat="1" ht="33.75" x14ac:dyDescent="0.25">
      <c r="A537" s="659" t="s">
        <v>4112</v>
      </c>
      <c r="B537" s="660" t="s">
        <v>1114</v>
      </c>
      <c r="C537" s="660" t="s">
        <v>533</v>
      </c>
      <c r="D537" s="660" t="s">
        <v>3482</v>
      </c>
      <c r="E537" s="661" t="s">
        <v>92</v>
      </c>
      <c r="F537" s="662" t="s">
        <v>4355</v>
      </c>
      <c r="G537" s="662" t="s">
        <v>4114</v>
      </c>
      <c r="H537" s="663">
        <v>915.798</v>
      </c>
    </row>
    <row r="538" spans="1:8" customFormat="1" ht="33.75" x14ac:dyDescent="0.25">
      <c r="A538" s="659" t="s">
        <v>4356</v>
      </c>
      <c r="B538" s="660" t="s">
        <v>1114</v>
      </c>
      <c r="C538" s="660" t="s">
        <v>535</v>
      </c>
      <c r="D538" s="660" t="s">
        <v>3482</v>
      </c>
      <c r="E538" s="661" t="s">
        <v>92</v>
      </c>
      <c r="F538" s="662" t="s">
        <v>4357</v>
      </c>
      <c r="G538" s="662" t="s">
        <v>4358</v>
      </c>
      <c r="H538" s="663">
        <v>101.694</v>
      </c>
    </row>
    <row r="539" spans="1:8" customFormat="1" ht="33.75" x14ac:dyDescent="0.25">
      <c r="A539" s="659" t="s">
        <v>4359</v>
      </c>
      <c r="B539" s="660" t="s">
        <v>1114</v>
      </c>
      <c r="C539" s="660" t="s">
        <v>536</v>
      </c>
      <c r="D539" s="660" t="s">
        <v>3482</v>
      </c>
      <c r="E539" s="661" t="s">
        <v>92</v>
      </c>
      <c r="F539" s="662" t="s">
        <v>4360</v>
      </c>
      <c r="G539" s="662" t="s">
        <v>3823</v>
      </c>
      <c r="H539" s="663">
        <v>362.50400000000002</v>
      </c>
    </row>
    <row r="540" spans="1:8" customFormat="1" ht="22.5" x14ac:dyDescent="0.25">
      <c r="A540" s="659" t="s">
        <v>4361</v>
      </c>
      <c r="B540" s="660" t="s">
        <v>1114</v>
      </c>
      <c r="C540" s="660" t="s">
        <v>4362</v>
      </c>
      <c r="D540" s="660" t="s">
        <v>3482</v>
      </c>
      <c r="E540" s="661" t="s">
        <v>106</v>
      </c>
      <c r="F540" s="662" t="s">
        <v>4363</v>
      </c>
      <c r="G540" s="662" t="s">
        <v>4364</v>
      </c>
      <c r="H540" s="663">
        <v>443.13200000000001</v>
      </c>
    </row>
    <row r="541" spans="1:8" customFormat="1" ht="22.5" x14ac:dyDescent="0.25">
      <c r="A541" s="659" t="s">
        <v>3480</v>
      </c>
      <c r="B541" s="660" t="s">
        <v>3702</v>
      </c>
      <c r="C541" s="660" t="s">
        <v>515</v>
      </c>
      <c r="D541" s="660" t="s">
        <v>3482</v>
      </c>
      <c r="E541" s="661" t="s">
        <v>273</v>
      </c>
      <c r="F541" s="662" t="s">
        <v>4365</v>
      </c>
      <c r="G541" s="662" t="s">
        <v>3806</v>
      </c>
      <c r="H541" s="663">
        <v>312.36080000000004</v>
      </c>
    </row>
    <row r="542" spans="1:8" customFormat="1" ht="22.5" x14ac:dyDescent="0.25">
      <c r="A542" s="659" t="s">
        <v>4130</v>
      </c>
      <c r="B542" s="660" t="s">
        <v>1114</v>
      </c>
      <c r="C542" s="660" t="s">
        <v>540</v>
      </c>
      <c r="D542" s="660" t="s">
        <v>3482</v>
      </c>
      <c r="E542" s="661" t="s">
        <v>273</v>
      </c>
      <c r="F542" s="662" t="s">
        <v>4365</v>
      </c>
      <c r="G542" s="662" t="s">
        <v>4131</v>
      </c>
      <c r="H542" s="663">
        <v>151.8768</v>
      </c>
    </row>
    <row r="543" spans="1:8" customFormat="1" ht="33.75" x14ac:dyDescent="0.25">
      <c r="A543" s="659" t="s">
        <v>4366</v>
      </c>
      <c r="B543" s="660" t="s">
        <v>1114</v>
      </c>
      <c r="C543" s="660" t="s">
        <v>4367</v>
      </c>
      <c r="D543" s="660" t="s">
        <v>3482</v>
      </c>
      <c r="E543" s="661" t="s">
        <v>92</v>
      </c>
      <c r="F543" s="662" t="s">
        <v>4368</v>
      </c>
      <c r="G543" s="662" t="s">
        <v>4369</v>
      </c>
      <c r="H543" s="663">
        <v>1407.8999999999999</v>
      </c>
    </row>
    <row r="544" spans="1:8" customFormat="1" ht="22.5" x14ac:dyDescent="0.25">
      <c r="A544" s="659" t="s">
        <v>3491</v>
      </c>
      <c r="B544" s="660" t="s">
        <v>3702</v>
      </c>
      <c r="C544" s="660" t="s">
        <v>592</v>
      </c>
      <c r="D544" s="660" t="s">
        <v>3482</v>
      </c>
      <c r="E544" s="661" t="s">
        <v>92</v>
      </c>
      <c r="F544" s="662" t="s">
        <v>4370</v>
      </c>
      <c r="G544" s="662" t="s">
        <v>3830</v>
      </c>
      <c r="H544" s="663">
        <v>2092.2863000000002</v>
      </c>
    </row>
    <row r="545" spans="1:8" customFormat="1" ht="22.5" x14ac:dyDescent="0.25">
      <c r="A545" s="659" t="s">
        <v>3492</v>
      </c>
      <c r="B545" s="660" t="s">
        <v>3702</v>
      </c>
      <c r="C545" s="660" t="s">
        <v>594</v>
      </c>
      <c r="D545" s="660" t="s">
        <v>3482</v>
      </c>
      <c r="E545" s="661" t="s">
        <v>92</v>
      </c>
      <c r="F545" s="662" t="s">
        <v>4370</v>
      </c>
      <c r="G545" s="662" t="s">
        <v>3858</v>
      </c>
      <c r="H545" s="663">
        <v>498.0188</v>
      </c>
    </row>
    <row r="546" spans="1:8" customFormat="1" ht="23.25" thickBot="1" x14ac:dyDescent="0.3">
      <c r="A546" s="659" t="s">
        <v>4371</v>
      </c>
      <c r="B546" s="660" t="s">
        <v>1114</v>
      </c>
      <c r="C546" s="660" t="s">
        <v>2881</v>
      </c>
      <c r="D546" s="660" t="s">
        <v>3495</v>
      </c>
      <c r="E546" s="661" t="s">
        <v>106</v>
      </c>
      <c r="F546" s="662" t="s">
        <v>4372</v>
      </c>
      <c r="G546" s="662" t="s">
        <v>4373</v>
      </c>
      <c r="H546" s="664">
        <v>512.51199999999994</v>
      </c>
    </row>
    <row r="547" spans="1:8" customFormat="1" ht="15.75" thickTop="1" x14ac:dyDescent="0.25">
      <c r="A547" s="665"/>
      <c r="B547" s="666"/>
      <c r="C547" s="666"/>
      <c r="D547" s="666"/>
      <c r="E547" s="666"/>
      <c r="F547" s="666"/>
      <c r="G547" s="666"/>
      <c r="H547" s="667"/>
    </row>
    <row r="548" spans="1:8" customFormat="1" ht="15" x14ac:dyDescent="0.25">
      <c r="A548" s="668" t="s">
        <v>3457</v>
      </c>
      <c r="B548" s="669" t="s">
        <v>3697</v>
      </c>
      <c r="C548" s="669" t="s">
        <v>3460</v>
      </c>
      <c r="D548" s="669" t="s">
        <v>3462</v>
      </c>
      <c r="E548" s="670" t="s">
        <v>69</v>
      </c>
      <c r="F548" s="671" t="s">
        <v>63</v>
      </c>
      <c r="G548" s="671" t="s">
        <v>3720</v>
      </c>
      <c r="H548" s="672" t="s">
        <v>453</v>
      </c>
    </row>
    <row r="549" spans="1:8" s="658" customFormat="1" ht="22.5" x14ac:dyDescent="0.25">
      <c r="A549" s="653" t="s">
        <v>3559</v>
      </c>
      <c r="B549" s="654" t="s">
        <v>3702</v>
      </c>
      <c r="C549" s="654" t="s">
        <v>2122</v>
      </c>
      <c r="D549" s="654" t="s">
        <v>3463</v>
      </c>
      <c r="E549" s="655" t="s">
        <v>56</v>
      </c>
      <c r="F549" s="656">
        <v>1</v>
      </c>
      <c r="G549" s="656" t="s">
        <v>4374</v>
      </c>
      <c r="H549" s="657" t="s">
        <v>4374</v>
      </c>
    </row>
    <row r="550" spans="1:8" customFormat="1" ht="22.5" x14ac:dyDescent="0.25">
      <c r="A550" s="659" t="s">
        <v>4121</v>
      </c>
      <c r="B550" s="660" t="s">
        <v>1114</v>
      </c>
      <c r="C550" s="660" t="s">
        <v>503</v>
      </c>
      <c r="D550" s="660" t="s">
        <v>3498</v>
      </c>
      <c r="E550" s="661" t="s">
        <v>273</v>
      </c>
      <c r="F550" s="662" t="s">
        <v>4375</v>
      </c>
      <c r="G550" s="662" t="s">
        <v>4122</v>
      </c>
      <c r="H550" s="663">
        <v>123.98359999999998</v>
      </c>
    </row>
    <row r="551" spans="1:8" customFormat="1" ht="33.75" x14ac:dyDescent="0.25">
      <c r="A551" s="659" t="s">
        <v>3483</v>
      </c>
      <c r="B551" s="660" t="s">
        <v>3702</v>
      </c>
      <c r="C551" s="660" t="s">
        <v>516</v>
      </c>
      <c r="D551" s="660" t="s">
        <v>3482</v>
      </c>
      <c r="E551" s="661" t="s">
        <v>92</v>
      </c>
      <c r="F551" s="662" t="s">
        <v>4376</v>
      </c>
      <c r="G551" s="662" t="s">
        <v>3794</v>
      </c>
      <c r="H551" s="663">
        <v>237.523</v>
      </c>
    </row>
    <row r="552" spans="1:8" customFormat="1" ht="33.75" x14ac:dyDescent="0.25">
      <c r="A552" s="659" t="s">
        <v>3485</v>
      </c>
      <c r="B552" s="660" t="s">
        <v>3702</v>
      </c>
      <c r="C552" s="660" t="s">
        <v>520</v>
      </c>
      <c r="D552" s="660" t="s">
        <v>3482</v>
      </c>
      <c r="E552" s="661" t="s">
        <v>92</v>
      </c>
      <c r="F552" s="662" t="s">
        <v>4377</v>
      </c>
      <c r="G552" s="662" t="s">
        <v>3766</v>
      </c>
      <c r="H552" s="663">
        <v>93.379199999999997</v>
      </c>
    </row>
    <row r="553" spans="1:8" customFormat="1" ht="22.5" x14ac:dyDescent="0.25">
      <c r="A553" s="659" t="s">
        <v>4293</v>
      </c>
      <c r="B553" s="660" t="s">
        <v>1114</v>
      </c>
      <c r="C553" s="660" t="s">
        <v>4294</v>
      </c>
      <c r="D553" s="660" t="s">
        <v>3482</v>
      </c>
      <c r="E553" s="661" t="s">
        <v>273</v>
      </c>
      <c r="F553" s="662" t="s">
        <v>4375</v>
      </c>
      <c r="G553" s="662" t="s">
        <v>4296</v>
      </c>
      <c r="H553" s="663">
        <v>679.49159999999995</v>
      </c>
    </row>
    <row r="554" spans="1:8" customFormat="1" ht="22.5" x14ac:dyDescent="0.25">
      <c r="A554" s="659" t="s">
        <v>4297</v>
      </c>
      <c r="B554" s="660" t="s">
        <v>1114</v>
      </c>
      <c r="C554" s="660" t="s">
        <v>2123</v>
      </c>
      <c r="D554" s="660" t="s">
        <v>3482</v>
      </c>
      <c r="E554" s="661" t="s">
        <v>273</v>
      </c>
      <c r="F554" s="662" t="s">
        <v>4375</v>
      </c>
      <c r="G554" s="662" t="s">
        <v>4298</v>
      </c>
      <c r="H554" s="663">
        <v>206.29279999999997</v>
      </c>
    </row>
    <row r="555" spans="1:8" customFormat="1" ht="15.75" thickBot="1" x14ac:dyDescent="0.3">
      <c r="A555" s="673" t="s">
        <v>4378</v>
      </c>
      <c r="B555" s="674" t="s">
        <v>3702</v>
      </c>
      <c r="C555" s="674" t="s">
        <v>3394</v>
      </c>
      <c r="D555" s="674" t="s">
        <v>1175</v>
      </c>
      <c r="E555" s="675" t="s">
        <v>56</v>
      </c>
      <c r="F555" s="676" t="s">
        <v>3711</v>
      </c>
      <c r="G555" s="676" t="s">
        <v>4379</v>
      </c>
      <c r="H555" s="677">
        <v>16900</v>
      </c>
    </row>
    <row r="556" spans="1:8" customFormat="1" ht="15.75" thickTop="1" x14ac:dyDescent="0.25">
      <c r="A556" s="665"/>
      <c r="B556" s="666"/>
      <c r="C556" s="666"/>
      <c r="D556" s="666"/>
      <c r="E556" s="666"/>
      <c r="F556" s="666"/>
      <c r="G556" s="666"/>
      <c r="H556" s="667"/>
    </row>
    <row r="557" spans="1:8" customFormat="1" ht="15" x14ac:dyDescent="0.25">
      <c r="A557" s="668" t="s">
        <v>3457</v>
      </c>
      <c r="B557" s="669" t="s">
        <v>3697</v>
      </c>
      <c r="C557" s="669" t="s">
        <v>3460</v>
      </c>
      <c r="D557" s="669" t="s">
        <v>3462</v>
      </c>
      <c r="E557" s="670" t="s">
        <v>69</v>
      </c>
      <c r="F557" s="671" t="s">
        <v>63</v>
      </c>
      <c r="G557" s="671" t="s">
        <v>3720</v>
      </c>
      <c r="H557" s="672" t="s">
        <v>453</v>
      </c>
    </row>
    <row r="558" spans="1:8" s="658" customFormat="1" ht="22.5" x14ac:dyDescent="0.25">
      <c r="A558" s="653" t="s">
        <v>3576</v>
      </c>
      <c r="B558" s="654" t="s">
        <v>3702</v>
      </c>
      <c r="C558" s="654" t="s">
        <v>818</v>
      </c>
      <c r="D558" s="654" t="s">
        <v>3502</v>
      </c>
      <c r="E558" s="655" t="s">
        <v>56</v>
      </c>
      <c r="F558" s="656">
        <v>1</v>
      </c>
      <c r="G558" s="656" t="s">
        <v>4380</v>
      </c>
      <c r="H558" s="657" t="s">
        <v>4380</v>
      </c>
    </row>
    <row r="559" spans="1:8" customFormat="1" ht="15" x14ac:dyDescent="0.25">
      <c r="A559" s="659" t="s">
        <v>3735</v>
      </c>
      <c r="B559" s="660" t="s">
        <v>1114</v>
      </c>
      <c r="C559" s="660" t="s">
        <v>1133</v>
      </c>
      <c r="D559" s="660" t="s">
        <v>3502</v>
      </c>
      <c r="E559" s="661" t="s">
        <v>1116</v>
      </c>
      <c r="F559" s="662" t="s">
        <v>3907</v>
      </c>
      <c r="G559" s="662" t="s">
        <v>3736</v>
      </c>
      <c r="H559" s="663">
        <v>10.247999999999999</v>
      </c>
    </row>
    <row r="560" spans="1:8" customFormat="1" ht="15.75" thickBot="1" x14ac:dyDescent="0.3">
      <c r="A560" s="673" t="s">
        <v>4381</v>
      </c>
      <c r="B560" s="674" t="s">
        <v>1114</v>
      </c>
      <c r="C560" s="674" t="s">
        <v>818</v>
      </c>
      <c r="D560" s="674" t="s">
        <v>1175</v>
      </c>
      <c r="E560" s="675" t="s">
        <v>56</v>
      </c>
      <c r="F560" s="676" t="s">
        <v>3711</v>
      </c>
      <c r="G560" s="676" t="s">
        <v>4382</v>
      </c>
      <c r="H560" s="677">
        <v>37.840000000000003</v>
      </c>
    </row>
    <row r="561" spans="1:8" customFormat="1" ht="15.75" thickTop="1" x14ac:dyDescent="0.25">
      <c r="A561" s="665"/>
      <c r="B561" s="666"/>
      <c r="C561" s="666"/>
      <c r="D561" s="666"/>
      <c r="E561" s="666"/>
      <c r="F561" s="666"/>
      <c r="G561" s="666"/>
      <c r="H561" s="667"/>
    </row>
    <row r="562" spans="1:8" customFormat="1" ht="15" x14ac:dyDescent="0.25">
      <c r="A562" s="668" t="s">
        <v>3457</v>
      </c>
      <c r="B562" s="669" t="s">
        <v>3697</v>
      </c>
      <c r="C562" s="669" t="s">
        <v>3460</v>
      </c>
      <c r="D562" s="669" t="s">
        <v>3462</v>
      </c>
      <c r="E562" s="670" t="s">
        <v>69</v>
      </c>
      <c r="F562" s="671" t="s">
        <v>63</v>
      </c>
      <c r="G562" s="671" t="s">
        <v>3720</v>
      </c>
      <c r="H562" s="672" t="s">
        <v>453</v>
      </c>
    </row>
    <row r="563" spans="1:8" s="658" customFormat="1" ht="22.5" x14ac:dyDescent="0.25">
      <c r="A563" s="653" t="s">
        <v>3544</v>
      </c>
      <c r="B563" s="654" t="s">
        <v>3702</v>
      </c>
      <c r="C563" s="654" t="s">
        <v>855</v>
      </c>
      <c r="D563" s="654" t="s">
        <v>3463</v>
      </c>
      <c r="E563" s="655" t="s">
        <v>56</v>
      </c>
      <c r="F563" s="656">
        <v>1</v>
      </c>
      <c r="G563" s="656" t="s">
        <v>4383</v>
      </c>
      <c r="H563" s="657" t="s">
        <v>4383</v>
      </c>
    </row>
    <row r="564" spans="1:8" customFormat="1" ht="15" x14ac:dyDescent="0.25">
      <c r="A564" s="659" t="s">
        <v>3729</v>
      </c>
      <c r="B564" s="660" t="s">
        <v>1114</v>
      </c>
      <c r="C564" s="660" t="s">
        <v>1299</v>
      </c>
      <c r="D564" s="660" t="s">
        <v>3502</v>
      </c>
      <c r="E564" s="661" t="s">
        <v>1116</v>
      </c>
      <c r="F564" s="662" t="s">
        <v>3730</v>
      </c>
      <c r="G564" s="662" t="s">
        <v>3731</v>
      </c>
      <c r="H564" s="663">
        <v>57</v>
      </c>
    </row>
    <row r="565" spans="1:8" customFormat="1" ht="15" x14ac:dyDescent="0.25">
      <c r="A565" s="659" t="s">
        <v>3732</v>
      </c>
      <c r="B565" s="660" t="s">
        <v>1114</v>
      </c>
      <c r="C565" s="660" t="s">
        <v>1287</v>
      </c>
      <c r="D565" s="660" t="s">
        <v>3502</v>
      </c>
      <c r="E565" s="661" t="s">
        <v>1116</v>
      </c>
      <c r="F565" s="662" t="s">
        <v>3730</v>
      </c>
      <c r="G565" s="662" t="s">
        <v>3734</v>
      </c>
      <c r="H565" s="663">
        <v>69.92</v>
      </c>
    </row>
    <row r="566" spans="1:8" customFormat="1" ht="15" x14ac:dyDescent="0.25">
      <c r="A566" s="673" t="s">
        <v>4286</v>
      </c>
      <c r="B566" s="674" t="s">
        <v>1114</v>
      </c>
      <c r="C566" s="674" t="s">
        <v>1305</v>
      </c>
      <c r="D566" s="674" t="s">
        <v>1175</v>
      </c>
      <c r="E566" s="675" t="s">
        <v>56</v>
      </c>
      <c r="F566" s="676" t="s">
        <v>4384</v>
      </c>
      <c r="G566" s="676" t="s">
        <v>4288</v>
      </c>
      <c r="H566" s="678">
        <v>0.51449999999999996</v>
      </c>
    </row>
    <row r="567" spans="1:8" customFormat="1" ht="15" x14ac:dyDescent="0.25">
      <c r="A567" s="673" t="s">
        <v>4385</v>
      </c>
      <c r="B567" s="674" t="s">
        <v>1114</v>
      </c>
      <c r="C567" s="674" t="s">
        <v>1306</v>
      </c>
      <c r="D567" s="674" t="s">
        <v>1175</v>
      </c>
      <c r="E567" s="675" t="s">
        <v>56</v>
      </c>
      <c r="F567" s="676" t="s">
        <v>3826</v>
      </c>
      <c r="G567" s="676" t="s">
        <v>4386</v>
      </c>
      <c r="H567" s="678">
        <v>322.39999999999998</v>
      </c>
    </row>
    <row r="568" spans="1:8" customFormat="1" ht="23.25" thickBot="1" x14ac:dyDescent="0.3">
      <c r="A568" s="673" t="s">
        <v>4387</v>
      </c>
      <c r="B568" s="674" t="s">
        <v>1114</v>
      </c>
      <c r="C568" s="674" t="s">
        <v>1307</v>
      </c>
      <c r="D568" s="674" t="s">
        <v>1175</v>
      </c>
      <c r="E568" s="675" t="s">
        <v>56</v>
      </c>
      <c r="F568" s="676" t="s">
        <v>3711</v>
      </c>
      <c r="G568" s="676" t="s">
        <v>4388</v>
      </c>
      <c r="H568" s="677">
        <v>426.94</v>
      </c>
    </row>
    <row r="569" spans="1:8" customFormat="1" ht="15.75" thickTop="1" x14ac:dyDescent="0.25">
      <c r="A569" s="665"/>
      <c r="B569" s="666"/>
      <c r="C569" s="666"/>
      <c r="D569" s="666"/>
      <c r="E569" s="666"/>
      <c r="F569" s="666"/>
      <c r="G569" s="666"/>
      <c r="H569" s="667"/>
    </row>
    <row r="570" spans="1:8" customFormat="1" ht="15" x14ac:dyDescent="0.25">
      <c r="A570" s="668" t="s">
        <v>3457</v>
      </c>
      <c r="B570" s="669" t="s">
        <v>3697</v>
      </c>
      <c r="C570" s="669" t="s">
        <v>3460</v>
      </c>
      <c r="D570" s="669" t="s">
        <v>3462</v>
      </c>
      <c r="E570" s="670" t="s">
        <v>69</v>
      </c>
      <c r="F570" s="671" t="s">
        <v>63</v>
      </c>
      <c r="G570" s="671" t="s">
        <v>3720</v>
      </c>
      <c r="H570" s="672" t="s">
        <v>453</v>
      </c>
    </row>
    <row r="571" spans="1:8" s="658" customFormat="1" ht="22.5" x14ac:dyDescent="0.25">
      <c r="A571" s="653" t="s">
        <v>3590</v>
      </c>
      <c r="B571" s="654" t="s">
        <v>3702</v>
      </c>
      <c r="C571" s="654" t="s">
        <v>856</v>
      </c>
      <c r="D571" s="654" t="s">
        <v>3502</v>
      </c>
      <c r="E571" s="655" t="s">
        <v>56</v>
      </c>
      <c r="F571" s="656">
        <v>1</v>
      </c>
      <c r="G571" s="656" t="s">
        <v>4389</v>
      </c>
      <c r="H571" s="657" t="s">
        <v>4389</v>
      </c>
    </row>
    <row r="572" spans="1:8" customFormat="1" ht="15" x14ac:dyDescent="0.25">
      <c r="A572" s="659" t="s">
        <v>3732</v>
      </c>
      <c r="B572" s="660" t="s">
        <v>1114</v>
      </c>
      <c r="C572" s="660" t="s">
        <v>1287</v>
      </c>
      <c r="D572" s="660" t="s">
        <v>3502</v>
      </c>
      <c r="E572" s="661" t="s">
        <v>1116</v>
      </c>
      <c r="F572" s="662" t="s">
        <v>3711</v>
      </c>
      <c r="G572" s="662" t="s">
        <v>3734</v>
      </c>
      <c r="H572" s="663">
        <v>17.48</v>
      </c>
    </row>
    <row r="573" spans="1:8" customFormat="1" ht="15" x14ac:dyDescent="0.25">
      <c r="A573" s="673" t="s">
        <v>4286</v>
      </c>
      <c r="B573" s="674" t="s">
        <v>1114</v>
      </c>
      <c r="C573" s="674" t="s">
        <v>1305</v>
      </c>
      <c r="D573" s="674" t="s">
        <v>1175</v>
      </c>
      <c r="E573" s="675" t="s">
        <v>56</v>
      </c>
      <c r="F573" s="676" t="s">
        <v>3822</v>
      </c>
      <c r="G573" s="676" t="s">
        <v>4288</v>
      </c>
      <c r="H573" s="678">
        <v>0.20579999999999998</v>
      </c>
    </row>
    <row r="574" spans="1:8" customFormat="1" ht="23.25" thickBot="1" x14ac:dyDescent="0.3">
      <c r="A574" s="673" t="s">
        <v>4390</v>
      </c>
      <c r="B574" s="674" t="s">
        <v>3702</v>
      </c>
      <c r="C574" s="674" t="s">
        <v>4391</v>
      </c>
      <c r="D574" s="674" t="s">
        <v>1175</v>
      </c>
      <c r="E574" s="675" t="s">
        <v>56</v>
      </c>
      <c r="F574" s="676" t="s">
        <v>3711</v>
      </c>
      <c r="G574" s="676" t="s">
        <v>4392</v>
      </c>
      <c r="H574" s="677">
        <v>1630</v>
      </c>
    </row>
    <row r="575" spans="1:8" customFormat="1" ht="15.75" thickTop="1" x14ac:dyDescent="0.25">
      <c r="A575" s="665"/>
      <c r="B575" s="666"/>
      <c r="C575" s="666"/>
      <c r="D575" s="666"/>
      <c r="E575" s="666"/>
      <c r="F575" s="666"/>
      <c r="G575" s="666"/>
      <c r="H575" s="667"/>
    </row>
    <row r="576" spans="1:8" customFormat="1" ht="15" x14ac:dyDescent="0.25">
      <c r="A576" s="668" t="s">
        <v>3457</v>
      </c>
      <c r="B576" s="669" t="s">
        <v>3697</v>
      </c>
      <c r="C576" s="669" t="s">
        <v>3460</v>
      </c>
      <c r="D576" s="669" t="s">
        <v>3462</v>
      </c>
      <c r="E576" s="670" t="s">
        <v>69</v>
      </c>
      <c r="F576" s="671" t="s">
        <v>63</v>
      </c>
      <c r="G576" s="671" t="s">
        <v>3720</v>
      </c>
      <c r="H576" s="672" t="s">
        <v>453</v>
      </c>
    </row>
    <row r="577" spans="1:8" s="658" customFormat="1" ht="67.5" x14ac:dyDescent="0.25">
      <c r="A577" s="653" t="s">
        <v>3566</v>
      </c>
      <c r="B577" s="654" t="s">
        <v>3702</v>
      </c>
      <c r="C577" s="654" t="s">
        <v>857</v>
      </c>
      <c r="D577" s="654" t="s">
        <v>3463</v>
      </c>
      <c r="E577" s="655" t="s">
        <v>56</v>
      </c>
      <c r="F577" s="656">
        <v>1</v>
      </c>
      <c r="G577" s="656" t="s">
        <v>4393</v>
      </c>
      <c r="H577" s="657" t="s">
        <v>4393</v>
      </c>
    </row>
    <row r="578" spans="1:8" customFormat="1" ht="33.75" x14ac:dyDescent="0.25">
      <c r="A578" s="659" t="s">
        <v>4394</v>
      </c>
      <c r="B578" s="660" t="s">
        <v>1114</v>
      </c>
      <c r="C578" s="660" t="s">
        <v>4395</v>
      </c>
      <c r="D578" s="660" t="s">
        <v>3572</v>
      </c>
      <c r="E578" s="661" t="s">
        <v>106</v>
      </c>
      <c r="F578" s="662" t="s">
        <v>4206</v>
      </c>
      <c r="G578" s="662" t="s">
        <v>4396</v>
      </c>
      <c r="H578" s="663">
        <v>84.859200000000001</v>
      </c>
    </row>
    <row r="579" spans="1:8" customFormat="1" ht="33.75" x14ac:dyDescent="0.25">
      <c r="A579" s="659" t="s">
        <v>4397</v>
      </c>
      <c r="B579" s="660" t="s">
        <v>1114</v>
      </c>
      <c r="C579" s="660" t="s">
        <v>4398</v>
      </c>
      <c r="D579" s="660" t="s">
        <v>3489</v>
      </c>
      <c r="E579" s="661" t="s">
        <v>106</v>
      </c>
      <c r="F579" s="662" t="s">
        <v>4399</v>
      </c>
      <c r="G579" s="662" t="s">
        <v>4400</v>
      </c>
      <c r="H579" s="663">
        <v>9.0519999999999996</v>
      </c>
    </row>
    <row r="580" spans="1:8" customFormat="1" ht="33.75" x14ac:dyDescent="0.25">
      <c r="A580" s="659" t="s">
        <v>4401</v>
      </c>
      <c r="B580" s="660" t="s">
        <v>1114</v>
      </c>
      <c r="C580" s="660" t="s">
        <v>4402</v>
      </c>
      <c r="D580" s="660" t="s">
        <v>3489</v>
      </c>
      <c r="E580" s="661" t="s">
        <v>106</v>
      </c>
      <c r="F580" s="662" t="s">
        <v>4399</v>
      </c>
      <c r="G580" s="662" t="s">
        <v>4403</v>
      </c>
      <c r="H580" s="663">
        <v>88.257000000000005</v>
      </c>
    </row>
    <row r="581" spans="1:8" customFormat="1" ht="33.75" x14ac:dyDescent="0.25">
      <c r="A581" s="659" t="s">
        <v>4404</v>
      </c>
      <c r="B581" s="660" t="s">
        <v>1114</v>
      </c>
      <c r="C581" s="660" t="s">
        <v>4405</v>
      </c>
      <c r="D581" s="660" t="s">
        <v>3489</v>
      </c>
      <c r="E581" s="661" t="s">
        <v>106</v>
      </c>
      <c r="F581" s="662" t="s">
        <v>4399</v>
      </c>
      <c r="G581" s="662" t="s">
        <v>4406</v>
      </c>
      <c r="H581" s="663">
        <v>150.28799999999998</v>
      </c>
    </row>
    <row r="582" spans="1:8" customFormat="1" ht="22.5" x14ac:dyDescent="0.25">
      <c r="A582" s="659" t="s">
        <v>4407</v>
      </c>
      <c r="B582" s="660" t="s">
        <v>1114</v>
      </c>
      <c r="C582" s="660" t="s">
        <v>1314</v>
      </c>
      <c r="D582" s="660" t="s">
        <v>3463</v>
      </c>
      <c r="E582" s="661" t="s">
        <v>56</v>
      </c>
      <c r="F582" s="662" t="s">
        <v>3826</v>
      </c>
      <c r="G582" s="662" t="s">
        <v>4408</v>
      </c>
      <c r="H582" s="663">
        <v>16.559999999999999</v>
      </c>
    </row>
    <row r="583" spans="1:8" customFormat="1" ht="22.5" x14ac:dyDescent="0.25">
      <c r="A583" s="659" t="s">
        <v>4409</v>
      </c>
      <c r="B583" s="660" t="s">
        <v>1114</v>
      </c>
      <c r="C583" s="660" t="s">
        <v>1315</v>
      </c>
      <c r="D583" s="660" t="s">
        <v>3463</v>
      </c>
      <c r="E583" s="661" t="s">
        <v>56</v>
      </c>
      <c r="F583" s="662" t="s">
        <v>3826</v>
      </c>
      <c r="G583" s="662" t="s">
        <v>4210</v>
      </c>
      <c r="H583" s="663">
        <v>94.08</v>
      </c>
    </row>
    <row r="584" spans="1:8" customFormat="1" ht="22.5" x14ac:dyDescent="0.25">
      <c r="A584" s="659" t="s">
        <v>4410</v>
      </c>
      <c r="B584" s="660" t="s">
        <v>1114</v>
      </c>
      <c r="C584" s="660" t="s">
        <v>1316</v>
      </c>
      <c r="D584" s="660" t="s">
        <v>3463</v>
      </c>
      <c r="E584" s="661" t="s">
        <v>56</v>
      </c>
      <c r="F584" s="662" t="s">
        <v>3826</v>
      </c>
      <c r="G584" s="662" t="s">
        <v>4411</v>
      </c>
      <c r="H584" s="663">
        <v>79.8</v>
      </c>
    </row>
    <row r="585" spans="1:8" customFormat="1" ht="15.75" thickBot="1" x14ac:dyDescent="0.3">
      <c r="A585" s="673" t="s">
        <v>4412</v>
      </c>
      <c r="B585" s="674" t="s">
        <v>3702</v>
      </c>
      <c r="C585" s="674" t="s">
        <v>1317</v>
      </c>
      <c r="D585" s="674" t="s">
        <v>1175</v>
      </c>
      <c r="E585" s="675" t="s">
        <v>56</v>
      </c>
      <c r="F585" s="676" t="s">
        <v>3711</v>
      </c>
      <c r="G585" s="676" t="s">
        <v>4413</v>
      </c>
      <c r="H585" s="677">
        <v>4100</v>
      </c>
    </row>
    <row r="586" spans="1:8" customFormat="1" ht="15.75" thickTop="1" x14ac:dyDescent="0.25">
      <c r="A586" s="665"/>
      <c r="B586" s="666"/>
      <c r="C586" s="666"/>
      <c r="D586" s="666"/>
      <c r="E586" s="666"/>
      <c r="F586" s="666"/>
      <c r="G586" s="666"/>
      <c r="H586" s="667"/>
    </row>
    <row r="587" spans="1:8" customFormat="1" ht="15" x14ac:dyDescent="0.25">
      <c r="A587" s="668" t="s">
        <v>3457</v>
      </c>
      <c r="B587" s="669" t="s">
        <v>3697</v>
      </c>
      <c r="C587" s="669" t="s">
        <v>3460</v>
      </c>
      <c r="D587" s="669" t="s">
        <v>3462</v>
      </c>
      <c r="E587" s="670" t="s">
        <v>69</v>
      </c>
      <c r="F587" s="671" t="s">
        <v>63</v>
      </c>
      <c r="G587" s="671" t="s">
        <v>3720</v>
      </c>
      <c r="H587" s="672" t="s">
        <v>453</v>
      </c>
    </row>
    <row r="588" spans="1:8" s="658" customFormat="1" ht="56.25" x14ac:dyDescent="0.25">
      <c r="A588" s="653" t="s">
        <v>4414</v>
      </c>
      <c r="B588" s="654" t="s">
        <v>3702</v>
      </c>
      <c r="C588" s="654" t="s">
        <v>4415</v>
      </c>
      <c r="D588" s="654" t="s">
        <v>3463</v>
      </c>
      <c r="E588" s="655" t="s">
        <v>56</v>
      </c>
      <c r="F588" s="656">
        <v>1</v>
      </c>
      <c r="G588" s="656" t="s">
        <v>4416</v>
      </c>
      <c r="H588" s="657" t="s">
        <v>4416</v>
      </c>
    </row>
    <row r="589" spans="1:8" customFormat="1" ht="33.75" x14ac:dyDescent="0.25">
      <c r="A589" s="659" t="s">
        <v>4394</v>
      </c>
      <c r="B589" s="660" t="s">
        <v>1114</v>
      </c>
      <c r="C589" s="660" t="s">
        <v>4395</v>
      </c>
      <c r="D589" s="660" t="s">
        <v>3572</v>
      </c>
      <c r="E589" s="661" t="s">
        <v>106</v>
      </c>
      <c r="F589" s="662" t="s">
        <v>4206</v>
      </c>
      <c r="G589" s="662" t="s">
        <v>4396</v>
      </c>
      <c r="H589" s="663">
        <v>84.859200000000001</v>
      </c>
    </row>
    <row r="590" spans="1:8" customFormat="1" ht="33.75" x14ac:dyDescent="0.25">
      <c r="A590" s="659" t="s">
        <v>4397</v>
      </c>
      <c r="B590" s="660" t="s">
        <v>1114</v>
      </c>
      <c r="C590" s="660" t="s">
        <v>4398</v>
      </c>
      <c r="D590" s="660" t="s">
        <v>3489</v>
      </c>
      <c r="E590" s="661" t="s">
        <v>106</v>
      </c>
      <c r="F590" s="662" t="s">
        <v>4399</v>
      </c>
      <c r="G590" s="662" t="s">
        <v>4400</v>
      </c>
      <c r="H590" s="663">
        <v>9.0519999999999996</v>
      </c>
    </row>
    <row r="591" spans="1:8" customFormat="1" ht="33.75" x14ac:dyDescent="0.25">
      <c r="A591" s="659" t="s">
        <v>4401</v>
      </c>
      <c r="B591" s="660" t="s">
        <v>1114</v>
      </c>
      <c r="C591" s="660" t="s">
        <v>4402</v>
      </c>
      <c r="D591" s="660" t="s">
        <v>3489</v>
      </c>
      <c r="E591" s="661" t="s">
        <v>106</v>
      </c>
      <c r="F591" s="662" t="s">
        <v>4399</v>
      </c>
      <c r="G591" s="662" t="s">
        <v>4403</v>
      </c>
      <c r="H591" s="663">
        <v>88.257000000000005</v>
      </c>
    </row>
    <row r="592" spans="1:8" customFormat="1" ht="33.75" x14ac:dyDescent="0.25">
      <c r="A592" s="659" t="s">
        <v>4404</v>
      </c>
      <c r="B592" s="660" t="s">
        <v>1114</v>
      </c>
      <c r="C592" s="660" t="s">
        <v>4405</v>
      </c>
      <c r="D592" s="660" t="s">
        <v>3489</v>
      </c>
      <c r="E592" s="661" t="s">
        <v>106</v>
      </c>
      <c r="F592" s="662" t="s">
        <v>4399</v>
      </c>
      <c r="G592" s="662" t="s">
        <v>4406</v>
      </c>
      <c r="H592" s="663">
        <v>150.28799999999998</v>
      </c>
    </row>
    <row r="593" spans="1:8" customFormat="1" ht="22.5" x14ac:dyDescent="0.25">
      <c r="A593" s="659" t="s">
        <v>4407</v>
      </c>
      <c r="B593" s="660" t="s">
        <v>1114</v>
      </c>
      <c r="C593" s="660" t="s">
        <v>1314</v>
      </c>
      <c r="D593" s="660" t="s">
        <v>3463</v>
      </c>
      <c r="E593" s="661" t="s">
        <v>56</v>
      </c>
      <c r="F593" s="662" t="s">
        <v>3711</v>
      </c>
      <c r="G593" s="662" t="s">
        <v>4408</v>
      </c>
      <c r="H593" s="663">
        <v>8.2799999999999994</v>
      </c>
    </row>
    <row r="594" spans="1:8" customFormat="1" ht="22.5" x14ac:dyDescent="0.25">
      <c r="A594" s="659" t="s">
        <v>4409</v>
      </c>
      <c r="B594" s="660" t="s">
        <v>1114</v>
      </c>
      <c r="C594" s="660" t="s">
        <v>1315</v>
      </c>
      <c r="D594" s="660" t="s">
        <v>3463</v>
      </c>
      <c r="E594" s="661" t="s">
        <v>56</v>
      </c>
      <c r="F594" s="662" t="s">
        <v>3711</v>
      </c>
      <c r="G594" s="662" t="s">
        <v>4210</v>
      </c>
      <c r="H594" s="663">
        <v>47.04</v>
      </c>
    </row>
    <row r="595" spans="1:8" customFormat="1" ht="22.5" x14ac:dyDescent="0.25">
      <c r="A595" s="659" t="s">
        <v>4410</v>
      </c>
      <c r="B595" s="660" t="s">
        <v>1114</v>
      </c>
      <c r="C595" s="660" t="s">
        <v>1316</v>
      </c>
      <c r="D595" s="660" t="s">
        <v>3463</v>
      </c>
      <c r="E595" s="661" t="s">
        <v>56</v>
      </c>
      <c r="F595" s="662" t="s">
        <v>3711</v>
      </c>
      <c r="G595" s="662" t="s">
        <v>4411</v>
      </c>
      <c r="H595" s="663">
        <v>39.9</v>
      </c>
    </row>
    <row r="596" spans="1:8" customFormat="1" ht="15.75" thickBot="1" x14ac:dyDescent="0.3">
      <c r="A596" s="673" t="s">
        <v>4417</v>
      </c>
      <c r="B596" s="674" t="s">
        <v>3702</v>
      </c>
      <c r="C596" s="674" t="s">
        <v>4418</v>
      </c>
      <c r="D596" s="674" t="s">
        <v>1175</v>
      </c>
      <c r="E596" s="675" t="s">
        <v>56</v>
      </c>
      <c r="F596" s="676" t="s">
        <v>3711</v>
      </c>
      <c r="G596" s="676" t="s">
        <v>4087</v>
      </c>
      <c r="H596" s="677">
        <v>2250</v>
      </c>
    </row>
    <row r="597" spans="1:8" customFormat="1" ht="15.75" thickTop="1" x14ac:dyDescent="0.25">
      <c r="A597" s="665"/>
      <c r="B597" s="666"/>
      <c r="C597" s="666"/>
      <c r="D597" s="666"/>
      <c r="E597" s="666"/>
      <c r="F597" s="666"/>
      <c r="G597" s="666"/>
      <c r="H597" s="667"/>
    </row>
    <row r="598" spans="1:8" customFormat="1" ht="15" x14ac:dyDescent="0.25">
      <c r="A598" s="668" t="s">
        <v>3457</v>
      </c>
      <c r="B598" s="669" t="s">
        <v>3697</v>
      </c>
      <c r="C598" s="669" t="s">
        <v>3460</v>
      </c>
      <c r="D598" s="669" t="s">
        <v>3462</v>
      </c>
      <c r="E598" s="670" t="s">
        <v>69</v>
      </c>
      <c r="F598" s="671" t="s">
        <v>63</v>
      </c>
      <c r="G598" s="671" t="s">
        <v>3720</v>
      </c>
      <c r="H598" s="672" t="s">
        <v>453</v>
      </c>
    </row>
    <row r="599" spans="1:8" s="658" customFormat="1" ht="56.25" x14ac:dyDescent="0.25">
      <c r="A599" s="653" t="s">
        <v>4419</v>
      </c>
      <c r="B599" s="654" t="s">
        <v>3702</v>
      </c>
      <c r="C599" s="654" t="s">
        <v>2138</v>
      </c>
      <c r="D599" s="654" t="s">
        <v>3463</v>
      </c>
      <c r="E599" s="655" t="s">
        <v>56</v>
      </c>
      <c r="F599" s="656">
        <v>1</v>
      </c>
      <c r="G599" s="656" t="s">
        <v>4420</v>
      </c>
      <c r="H599" s="657" t="s">
        <v>4420</v>
      </c>
    </row>
    <row r="600" spans="1:8" customFormat="1" ht="33.75" x14ac:dyDescent="0.25">
      <c r="A600" s="659" t="s">
        <v>4394</v>
      </c>
      <c r="B600" s="660" t="s">
        <v>1114</v>
      </c>
      <c r="C600" s="660" t="s">
        <v>4395</v>
      </c>
      <c r="D600" s="660" t="s">
        <v>3572</v>
      </c>
      <c r="E600" s="661" t="s">
        <v>106</v>
      </c>
      <c r="F600" s="662" t="s">
        <v>4206</v>
      </c>
      <c r="G600" s="662" t="s">
        <v>4396</v>
      </c>
      <c r="H600" s="663">
        <v>84.859200000000001</v>
      </c>
    </row>
    <row r="601" spans="1:8" customFormat="1" ht="33.75" x14ac:dyDescent="0.25">
      <c r="A601" s="659" t="s">
        <v>4397</v>
      </c>
      <c r="B601" s="660" t="s">
        <v>1114</v>
      </c>
      <c r="C601" s="660" t="s">
        <v>4398</v>
      </c>
      <c r="D601" s="660" t="s">
        <v>3489</v>
      </c>
      <c r="E601" s="661" t="s">
        <v>106</v>
      </c>
      <c r="F601" s="662" t="s">
        <v>4399</v>
      </c>
      <c r="G601" s="662" t="s">
        <v>4400</v>
      </c>
      <c r="H601" s="663">
        <v>9.0519999999999996</v>
      </c>
    </row>
    <row r="602" spans="1:8" customFormat="1" ht="33.75" x14ac:dyDescent="0.25">
      <c r="A602" s="659" t="s">
        <v>4401</v>
      </c>
      <c r="B602" s="660" t="s">
        <v>1114</v>
      </c>
      <c r="C602" s="660" t="s">
        <v>4402</v>
      </c>
      <c r="D602" s="660" t="s">
        <v>3489</v>
      </c>
      <c r="E602" s="661" t="s">
        <v>106</v>
      </c>
      <c r="F602" s="662" t="s">
        <v>4399</v>
      </c>
      <c r="G602" s="662" t="s">
        <v>4403</v>
      </c>
      <c r="H602" s="663">
        <v>88.257000000000005</v>
      </c>
    </row>
    <row r="603" spans="1:8" customFormat="1" ht="33.75" x14ac:dyDescent="0.25">
      <c r="A603" s="659" t="s">
        <v>4404</v>
      </c>
      <c r="B603" s="660" t="s">
        <v>1114</v>
      </c>
      <c r="C603" s="660" t="s">
        <v>4405</v>
      </c>
      <c r="D603" s="660" t="s">
        <v>3489</v>
      </c>
      <c r="E603" s="661" t="s">
        <v>106</v>
      </c>
      <c r="F603" s="662" t="s">
        <v>4399</v>
      </c>
      <c r="G603" s="662" t="s">
        <v>4406</v>
      </c>
      <c r="H603" s="663">
        <v>150.28799999999998</v>
      </c>
    </row>
    <row r="604" spans="1:8" customFormat="1" ht="22.5" x14ac:dyDescent="0.25">
      <c r="A604" s="659" t="s">
        <v>4407</v>
      </c>
      <c r="B604" s="660" t="s">
        <v>1114</v>
      </c>
      <c r="C604" s="660" t="s">
        <v>1314</v>
      </c>
      <c r="D604" s="660" t="s">
        <v>3463</v>
      </c>
      <c r="E604" s="661" t="s">
        <v>56</v>
      </c>
      <c r="F604" s="662" t="s">
        <v>3711</v>
      </c>
      <c r="G604" s="662" t="s">
        <v>4408</v>
      </c>
      <c r="H604" s="663">
        <v>8.2799999999999994</v>
      </c>
    </row>
    <row r="605" spans="1:8" customFormat="1" ht="22.5" x14ac:dyDescent="0.25">
      <c r="A605" s="659" t="s">
        <v>4409</v>
      </c>
      <c r="B605" s="660" t="s">
        <v>1114</v>
      </c>
      <c r="C605" s="660" t="s">
        <v>1315</v>
      </c>
      <c r="D605" s="660" t="s">
        <v>3463</v>
      </c>
      <c r="E605" s="661" t="s">
        <v>56</v>
      </c>
      <c r="F605" s="662" t="s">
        <v>3711</v>
      </c>
      <c r="G605" s="662" t="s">
        <v>4210</v>
      </c>
      <c r="H605" s="663">
        <v>47.04</v>
      </c>
    </row>
    <row r="606" spans="1:8" customFormat="1" ht="22.5" x14ac:dyDescent="0.25">
      <c r="A606" s="659" t="s">
        <v>4410</v>
      </c>
      <c r="B606" s="660" t="s">
        <v>1114</v>
      </c>
      <c r="C606" s="660" t="s">
        <v>1316</v>
      </c>
      <c r="D606" s="660" t="s">
        <v>3463</v>
      </c>
      <c r="E606" s="661" t="s">
        <v>56</v>
      </c>
      <c r="F606" s="662" t="s">
        <v>3711</v>
      </c>
      <c r="G606" s="662" t="s">
        <v>4411</v>
      </c>
      <c r="H606" s="663">
        <v>39.9</v>
      </c>
    </row>
    <row r="607" spans="1:8" customFormat="1" ht="15.75" thickBot="1" x14ac:dyDescent="0.3">
      <c r="A607" s="673" t="s">
        <v>4421</v>
      </c>
      <c r="B607" s="674" t="s">
        <v>3702</v>
      </c>
      <c r="C607" s="674" t="s">
        <v>2136</v>
      </c>
      <c r="D607" s="674" t="s">
        <v>1175</v>
      </c>
      <c r="E607" s="675" t="s">
        <v>56</v>
      </c>
      <c r="F607" s="676" t="s">
        <v>3711</v>
      </c>
      <c r="G607" s="676" t="s">
        <v>4422</v>
      </c>
      <c r="H607" s="677">
        <v>3160</v>
      </c>
    </row>
    <row r="608" spans="1:8" customFormat="1" ht="15.75" thickTop="1" x14ac:dyDescent="0.25">
      <c r="A608" s="665"/>
      <c r="B608" s="666"/>
      <c r="C608" s="666"/>
      <c r="D608" s="666"/>
      <c r="E608" s="666"/>
      <c r="F608" s="666"/>
      <c r="G608" s="666"/>
      <c r="H608" s="667"/>
    </row>
    <row r="609" spans="1:8" customFormat="1" ht="15" x14ac:dyDescent="0.25">
      <c r="A609" s="668" t="s">
        <v>3457</v>
      </c>
      <c r="B609" s="669" t="s">
        <v>3697</v>
      </c>
      <c r="C609" s="669" t="s">
        <v>3460</v>
      </c>
      <c r="D609" s="669" t="s">
        <v>3462</v>
      </c>
      <c r="E609" s="670" t="s">
        <v>69</v>
      </c>
      <c r="F609" s="671" t="s">
        <v>63</v>
      </c>
      <c r="G609" s="671" t="s">
        <v>3720</v>
      </c>
      <c r="H609" s="672" t="s">
        <v>453</v>
      </c>
    </row>
    <row r="610" spans="1:8" s="658" customFormat="1" ht="22.5" x14ac:dyDescent="0.25">
      <c r="A610" s="653" t="s">
        <v>3540</v>
      </c>
      <c r="B610" s="654" t="s">
        <v>3702</v>
      </c>
      <c r="C610" s="654" t="s">
        <v>4423</v>
      </c>
      <c r="D610" s="654" t="s">
        <v>3463</v>
      </c>
      <c r="E610" s="655" t="s">
        <v>56</v>
      </c>
      <c r="F610" s="656">
        <v>1</v>
      </c>
      <c r="G610" s="656" t="s">
        <v>4424</v>
      </c>
      <c r="H610" s="657" t="s">
        <v>4424</v>
      </c>
    </row>
    <row r="611" spans="1:8" customFormat="1" ht="15" x14ac:dyDescent="0.25">
      <c r="A611" s="659" t="s">
        <v>3732</v>
      </c>
      <c r="B611" s="660" t="s">
        <v>1114</v>
      </c>
      <c r="C611" s="660" t="s">
        <v>1287</v>
      </c>
      <c r="D611" s="660" t="s">
        <v>3502</v>
      </c>
      <c r="E611" s="661" t="s">
        <v>1116</v>
      </c>
      <c r="F611" s="662" t="s">
        <v>4425</v>
      </c>
      <c r="G611" s="662" t="s">
        <v>3734</v>
      </c>
      <c r="H611" s="663">
        <v>5.9432000000000009</v>
      </c>
    </row>
    <row r="612" spans="1:8" customFormat="1" ht="15" x14ac:dyDescent="0.25">
      <c r="A612" s="659" t="s">
        <v>3737</v>
      </c>
      <c r="B612" s="660" t="s">
        <v>1114</v>
      </c>
      <c r="C612" s="660" t="s">
        <v>1134</v>
      </c>
      <c r="D612" s="660" t="s">
        <v>3502</v>
      </c>
      <c r="E612" s="661" t="s">
        <v>1116</v>
      </c>
      <c r="F612" s="662" t="s">
        <v>4425</v>
      </c>
      <c r="G612" s="662" t="s">
        <v>3739</v>
      </c>
      <c r="H612" s="663">
        <v>4.7192000000000007</v>
      </c>
    </row>
    <row r="613" spans="1:8" customFormat="1" ht="15" x14ac:dyDescent="0.25">
      <c r="A613" s="673" t="s">
        <v>4426</v>
      </c>
      <c r="B613" s="674" t="s">
        <v>1114</v>
      </c>
      <c r="C613" s="674" t="s">
        <v>1300</v>
      </c>
      <c r="D613" s="674" t="s">
        <v>1175</v>
      </c>
      <c r="E613" s="675" t="s">
        <v>56</v>
      </c>
      <c r="F613" s="676" t="s">
        <v>3824</v>
      </c>
      <c r="G613" s="676" t="s">
        <v>4427</v>
      </c>
      <c r="H613" s="678">
        <v>0.83699999999999997</v>
      </c>
    </row>
    <row r="614" spans="1:8" customFormat="1" ht="15.75" thickBot="1" x14ac:dyDescent="0.3">
      <c r="A614" s="673" t="s">
        <v>4428</v>
      </c>
      <c r="B614" s="674" t="s">
        <v>1114</v>
      </c>
      <c r="C614" s="674" t="s">
        <v>1303</v>
      </c>
      <c r="D614" s="674" t="s">
        <v>1175</v>
      </c>
      <c r="E614" s="675" t="s">
        <v>56</v>
      </c>
      <c r="F614" s="676" t="s">
        <v>3711</v>
      </c>
      <c r="G614" s="676" t="s">
        <v>4429</v>
      </c>
      <c r="H614" s="677">
        <v>149.91999999999999</v>
      </c>
    </row>
    <row r="615" spans="1:8" customFormat="1" ht="15.75" thickTop="1" x14ac:dyDescent="0.25">
      <c r="A615" s="665"/>
      <c r="B615" s="666"/>
      <c r="C615" s="666"/>
      <c r="D615" s="666"/>
      <c r="E615" s="666"/>
      <c r="F615" s="666"/>
      <c r="G615" s="666"/>
      <c r="H615" s="667"/>
    </row>
    <row r="616" spans="1:8" customFormat="1" ht="15" x14ac:dyDescent="0.25">
      <c r="A616" s="668" t="s">
        <v>3457</v>
      </c>
      <c r="B616" s="669" t="s">
        <v>3697</v>
      </c>
      <c r="C616" s="669" t="s">
        <v>3460</v>
      </c>
      <c r="D616" s="669" t="s">
        <v>3462</v>
      </c>
      <c r="E616" s="670" t="s">
        <v>69</v>
      </c>
      <c r="F616" s="671" t="s">
        <v>63</v>
      </c>
      <c r="G616" s="671" t="s">
        <v>3720</v>
      </c>
      <c r="H616" s="672" t="s">
        <v>453</v>
      </c>
    </row>
    <row r="617" spans="1:8" s="658" customFormat="1" ht="22.5" x14ac:dyDescent="0.25">
      <c r="A617" s="653" t="s">
        <v>3542</v>
      </c>
      <c r="B617" s="654" t="s">
        <v>3702</v>
      </c>
      <c r="C617" s="654" t="s">
        <v>859</v>
      </c>
      <c r="D617" s="654" t="s">
        <v>3463</v>
      </c>
      <c r="E617" s="655" t="s">
        <v>56</v>
      </c>
      <c r="F617" s="656">
        <v>1</v>
      </c>
      <c r="G617" s="656" t="s">
        <v>4430</v>
      </c>
      <c r="H617" s="657" t="s">
        <v>4430</v>
      </c>
    </row>
    <row r="618" spans="1:8" customFormat="1" ht="33.75" x14ac:dyDescent="0.25">
      <c r="A618" s="659" t="s">
        <v>4431</v>
      </c>
      <c r="B618" s="660" t="s">
        <v>1114</v>
      </c>
      <c r="C618" s="660" t="s">
        <v>1318</v>
      </c>
      <c r="D618" s="660" t="s">
        <v>3572</v>
      </c>
      <c r="E618" s="661" t="s">
        <v>106</v>
      </c>
      <c r="F618" s="662" t="s">
        <v>4432</v>
      </c>
      <c r="G618" s="662" t="s">
        <v>4433</v>
      </c>
      <c r="H618" s="663">
        <v>60.566400000000002</v>
      </c>
    </row>
    <row r="619" spans="1:8" customFormat="1" ht="33.75" x14ac:dyDescent="0.25">
      <c r="A619" s="659" t="s">
        <v>4110</v>
      </c>
      <c r="B619" s="660" t="s">
        <v>1114</v>
      </c>
      <c r="C619" s="660" t="s">
        <v>2738</v>
      </c>
      <c r="D619" s="660" t="s">
        <v>3489</v>
      </c>
      <c r="E619" s="661" t="s">
        <v>106</v>
      </c>
      <c r="F619" s="662" t="s">
        <v>4434</v>
      </c>
      <c r="G619" s="662" t="s">
        <v>4111</v>
      </c>
      <c r="H619" s="663">
        <v>5.5296000000000003</v>
      </c>
    </row>
    <row r="620" spans="1:8" customFormat="1" ht="45" x14ac:dyDescent="0.25">
      <c r="A620" s="659" t="s">
        <v>4153</v>
      </c>
      <c r="B620" s="660" t="s">
        <v>1114</v>
      </c>
      <c r="C620" s="660" t="s">
        <v>771</v>
      </c>
      <c r="D620" s="660" t="s">
        <v>3489</v>
      </c>
      <c r="E620" s="661" t="s">
        <v>106</v>
      </c>
      <c r="F620" s="662" t="s">
        <v>4434</v>
      </c>
      <c r="G620" s="662" t="s">
        <v>4155</v>
      </c>
      <c r="H620" s="663">
        <v>49.874400000000001</v>
      </c>
    </row>
    <row r="621" spans="1:8" customFormat="1" ht="22.5" x14ac:dyDescent="0.25">
      <c r="A621" s="659" t="s">
        <v>4407</v>
      </c>
      <c r="B621" s="660" t="s">
        <v>1114</v>
      </c>
      <c r="C621" s="660" t="s">
        <v>1314</v>
      </c>
      <c r="D621" s="660" t="s">
        <v>3463</v>
      </c>
      <c r="E621" s="661" t="s">
        <v>56</v>
      </c>
      <c r="F621" s="662" t="s">
        <v>3826</v>
      </c>
      <c r="G621" s="662" t="s">
        <v>4408</v>
      </c>
      <c r="H621" s="663">
        <v>16.559999999999999</v>
      </c>
    </row>
    <row r="622" spans="1:8" customFormat="1" ht="22.5" x14ac:dyDescent="0.25">
      <c r="A622" s="659" t="s">
        <v>4435</v>
      </c>
      <c r="B622" s="660" t="s">
        <v>1114</v>
      </c>
      <c r="C622" s="660" t="s">
        <v>1319</v>
      </c>
      <c r="D622" s="660" t="s">
        <v>3463</v>
      </c>
      <c r="E622" s="661" t="s">
        <v>56</v>
      </c>
      <c r="F622" s="662" t="s">
        <v>3826</v>
      </c>
      <c r="G622" s="662" t="s">
        <v>4436</v>
      </c>
      <c r="H622" s="663">
        <v>72.36</v>
      </c>
    </row>
    <row r="623" spans="1:8" customFormat="1" ht="22.5" x14ac:dyDescent="0.25">
      <c r="A623" s="659" t="s">
        <v>4437</v>
      </c>
      <c r="B623" s="660" t="s">
        <v>1114</v>
      </c>
      <c r="C623" s="660" t="s">
        <v>1320</v>
      </c>
      <c r="D623" s="660" t="s">
        <v>3463</v>
      </c>
      <c r="E623" s="661" t="s">
        <v>56</v>
      </c>
      <c r="F623" s="662" t="s">
        <v>3826</v>
      </c>
      <c r="G623" s="662" t="s">
        <v>4209</v>
      </c>
      <c r="H623" s="663">
        <v>10.08</v>
      </c>
    </row>
    <row r="624" spans="1:8" customFormat="1" ht="15" x14ac:dyDescent="0.25">
      <c r="A624" s="659" t="s">
        <v>4313</v>
      </c>
      <c r="B624" s="660" t="s">
        <v>1114</v>
      </c>
      <c r="C624" s="660" t="s">
        <v>825</v>
      </c>
      <c r="D624" s="660" t="s">
        <v>3495</v>
      </c>
      <c r="E624" s="661" t="s">
        <v>106</v>
      </c>
      <c r="F624" s="662" t="s">
        <v>4434</v>
      </c>
      <c r="G624" s="662" t="s">
        <v>4314</v>
      </c>
      <c r="H624" s="663">
        <v>3.3696000000000002</v>
      </c>
    </row>
    <row r="625" spans="1:8" customFormat="1" ht="22.5" x14ac:dyDescent="0.25">
      <c r="A625" s="659" t="s">
        <v>4315</v>
      </c>
      <c r="B625" s="660" t="s">
        <v>1114</v>
      </c>
      <c r="C625" s="660" t="s">
        <v>780</v>
      </c>
      <c r="D625" s="660" t="s">
        <v>3495</v>
      </c>
      <c r="E625" s="661" t="s">
        <v>106</v>
      </c>
      <c r="F625" s="662" t="s">
        <v>4434</v>
      </c>
      <c r="G625" s="662" t="s">
        <v>4316</v>
      </c>
      <c r="H625" s="663">
        <v>22.5288</v>
      </c>
    </row>
    <row r="626" spans="1:8" customFormat="1" ht="15.75" thickBot="1" x14ac:dyDescent="0.3">
      <c r="A626" s="673" t="s">
        <v>4438</v>
      </c>
      <c r="B626" s="674" t="s">
        <v>1114</v>
      </c>
      <c r="C626" s="674" t="s">
        <v>4439</v>
      </c>
      <c r="D626" s="674" t="s">
        <v>1175</v>
      </c>
      <c r="E626" s="675" t="s">
        <v>56</v>
      </c>
      <c r="F626" s="676" t="s">
        <v>3711</v>
      </c>
      <c r="G626" s="676" t="s">
        <v>4440</v>
      </c>
      <c r="H626" s="677">
        <v>145.88999999999999</v>
      </c>
    </row>
    <row r="627" spans="1:8" customFormat="1" ht="15.75" thickTop="1" x14ac:dyDescent="0.25">
      <c r="A627" s="665"/>
      <c r="B627" s="666"/>
      <c r="C627" s="666"/>
      <c r="D627" s="666"/>
      <c r="E627" s="666"/>
      <c r="F627" s="666"/>
      <c r="G627" s="666"/>
      <c r="H627" s="667"/>
    </row>
    <row r="628" spans="1:8" customFormat="1" ht="15" x14ac:dyDescent="0.25">
      <c r="A628" s="668" t="s">
        <v>3457</v>
      </c>
      <c r="B628" s="669" t="s">
        <v>3697</v>
      </c>
      <c r="C628" s="669" t="s">
        <v>3460</v>
      </c>
      <c r="D628" s="669" t="s">
        <v>3462</v>
      </c>
      <c r="E628" s="670" t="s">
        <v>69</v>
      </c>
      <c r="F628" s="671" t="s">
        <v>63</v>
      </c>
      <c r="G628" s="671" t="s">
        <v>3720</v>
      </c>
      <c r="H628" s="672" t="s">
        <v>453</v>
      </c>
    </row>
    <row r="629" spans="1:8" s="658" customFormat="1" ht="45" x14ac:dyDescent="0.25">
      <c r="A629" s="653" t="s">
        <v>3570</v>
      </c>
      <c r="B629" s="654" t="s">
        <v>3702</v>
      </c>
      <c r="C629" s="654" t="s">
        <v>2850</v>
      </c>
      <c r="D629" s="654" t="s">
        <v>3463</v>
      </c>
      <c r="E629" s="655" t="s">
        <v>56</v>
      </c>
      <c r="F629" s="656">
        <v>1</v>
      </c>
      <c r="G629" s="656" t="s">
        <v>4441</v>
      </c>
      <c r="H629" s="657" t="s">
        <v>4441</v>
      </c>
    </row>
    <row r="630" spans="1:8" customFormat="1" ht="22.5" x14ac:dyDescent="0.25">
      <c r="A630" s="659" t="s">
        <v>4437</v>
      </c>
      <c r="B630" s="660" t="s">
        <v>1114</v>
      </c>
      <c r="C630" s="660" t="s">
        <v>1320</v>
      </c>
      <c r="D630" s="660" t="s">
        <v>3463</v>
      </c>
      <c r="E630" s="661" t="s">
        <v>56</v>
      </c>
      <c r="F630" s="662" t="s">
        <v>3711</v>
      </c>
      <c r="G630" s="662" t="s">
        <v>4209</v>
      </c>
      <c r="H630" s="663">
        <v>5.04</v>
      </c>
    </row>
    <row r="631" spans="1:8" customFormat="1" ht="22.5" x14ac:dyDescent="0.25">
      <c r="A631" s="659" t="s">
        <v>4407</v>
      </c>
      <c r="B631" s="660" t="s">
        <v>1114</v>
      </c>
      <c r="C631" s="660" t="s">
        <v>1314</v>
      </c>
      <c r="D631" s="660" t="s">
        <v>3463</v>
      </c>
      <c r="E631" s="661" t="s">
        <v>56</v>
      </c>
      <c r="F631" s="662" t="s">
        <v>3711</v>
      </c>
      <c r="G631" s="662" t="s">
        <v>4408</v>
      </c>
      <c r="H631" s="663">
        <v>8.2799999999999994</v>
      </c>
    </row>
    <row r="632" spans="1:8" customFormat="1" ht="22.5" x14ac:dyDescent="0.25">
      <c r="A632" s="659" t="s">
        <v>4442</v>
      </c>
      <c r="B632" s="660" t="s">
        <v>1114</v>
      </c>
      <c r="C632" s="660" t="s">
        <v>1321</v>
      </c>
      <c r="D632" s="660" t="s">
        <v>3463</v>
      </c>
      <c r="E632" s="661" t="s">
        <v>56</v>
      </c>
      <c r="F632" s="662" t="s">
        <v>3711</v>
      </c>
      <c r="G632" s="662" t="s">
        <v>4443</v>
      </c>
      <c r="H632" s="663">
        <v>6.21</v>
      </c>
    </row>
    <row r="633" spans="1:8" customFormat="1" ht="22.5" x14ac:dyDescent="0.25">
      <c r="A633" s="659" t="s">
        <v>4444</v>
      </c>
      <c r="B633" s="660" t="s">
        <v>1114</v>
      </c>
      <c r="C633" s="660" t="s">
        <v>2694</v>
      </c>
      <c r="D633" s="660" t="s">
        <v>3463</v>
      </c>
      <c r="E633" s="661" t="s">
        <v>56</v>
      </c>
      <c r="F633" s="662" t="s">
        <v>3711</v>
      </c>
      <c r="G633" s="662" t="s">
        <v>4445</v>
      </c>
      <c r="H633" s="663">
        <v>97.66</v>
      </c>
    </row>
    <row r="634" spans="1:8" customFormat="1" ht="23.25" thickBot="1" x14ac:dyDescent="0.3">
      <c r="A634" s="659" t="s">
        <v>3545</v>
      </c>
      <c r="B634" s="660" t="s">
        <v>3702</v>
      </c>
      <c r="C634" s="660" t="s">
        <v>863</v>
      </c>
      <c r="D634" s="660" t="s">
        <v>3463</v>
      </c>
      <c r="E634" s="661" t="s">
        <v>56</v>
      </c>
      <c r="F634" s="662" t="s">
        <v>3711</v>
      </c>
      <c r="G634" s="662" t="s">
        <v>4446</v>
      </c>
      <c r="H634" s="664">
        <v>550.96</v>
      </c>
    </row>
    <row r="635" spans="1:8" customFormat="1" ht="15.75" thickTop="1" x14ac:dyDescent="0.25">
      <c r="A635" s="665"/>
      <c r="B635" s="666"/>
      <c r="C635" s="666"/>
      <c r="D635" s="666"/>
      <c r="E635" s="666"/>
      <c r="F635" s="666"/>
      <c r="G635" s="666"/>
      <c r="H635" s="667"/>
    </row>
    <row r="636" spans="1:8" customFormat="1" ht="15" x14ac:dyDescent="0.25">
      <c r="A636" s="668" t="s">
        <v>3457</v>
      </c>
      <c r="B636" s="669" t="s">
        <v>3697</v>
      </c>
      <c r="C636" s="669" t="s">
        <v>3460</v>
      </c>
      <c r="D636" s="669" t="s">
        <v>3462</v>
      </c>
      <c r="E636" s="670" t="s">
        <v>69</v>
      </c>
      <c r="F636" s="671" t="s">
        <v>63</v>
      </c>
      <c r="G636" s="671" t="s">
        <v>3720</v>
      </c>
      <c r="H636" s="672" t="s">
        <v>453</v>
      </c>
    </row>
    <row r="637" spans="1:8" s="658" customFormat="1" ht="22.5" x14ac:dyDescent="0.25">
      <c r="A637" s="653" t="s">
        <v>3545</v>
      </c>
      <c r="B637" s="654" t="s">
        <v>3702</v>
      </c>
      <c r="C637" s="654" t="s">
        <v>863</v>
      </c>
      <c r="D637" s="654" t="s">
        <v>3463</v>
      </c>
      <c r="E637" s="655" t="s">
        <v>56</v>
      </c>
      <c r="F637" s="656">
        <v>1</v>
      </c>
      <c r="G637" s="656" t="s">
        <v>4446</v>
      </c>
      <c r="H637" s="657" t="s">
        <v>4446</v>
      </c>
    </row>
    <row r="638" spans="1:8" customFormat="1" ht="15" x14ac:dyDescent="0.25">
      <c r="A638" s="659" t="s">
        <v>3737</v>
      </c>
      <c r="B638" s="660" t="s">
        <v>1114</v>
      </c>
      <c r="C638" s="660" t="s">
        <v>1134</v>
      </c>
      <c r="D638" s="660" t="s">
        <v>3502</v>
      </c>
      <c r="E638" s="661" t="s">
        <v>1116</v>
      </c>
      <c r="F638" s="662" t="s">
        <v>4447</v>
      </c>
      <c r="G638" s="662" t="s">
        <v>3739</v>
      </c>
      <c r="H638" s="663">
        <v>24.290000000000003</v>
      </c>
    </row>
    <row r="639" spans="1:8" customFormat="1" ht="15" x14ac:dyDescent="0.25">
      <c r="A639" s="659" t="s">
        <v>3732</v>
      </c>
      <c r="B639" s="660" t="s">
        <v>1114</v>
      </c>
      <c r="C639" s="660" t="s">
        <v>1287</v>
      </c>
      <c r="D639" s="660" t="s">
        <v>3502</v>
      </c>
      <c r="E639" s="661" t="s">
        <v>1116</v>
      </c>
      <c r="F639" s="662" t="s">
        <v>4447</v>
      </c>
      <c r="G639" s="662" t="s">
        <v>3734</v>
      </c>
      <c r="H639" s="663">
        <v>30.59</v>
      </c>
    </row>
    <row r="640" spans="1:8" customFormat="1" ht="15" x14ac:dyDescent="0.25">
      <c r="A640" s="673" t="s">
        <v>4426</v>
      </c>
      <c r="B640" s="674" t="s">
        <v>1114</v>
      </c>
      <c r="C640" s="674" t="s">
        <v>1300</v>
      </c>
      <c r="D640" s="674" t="s">
        <v>1175</v>
      </c>
      <c r="E640" s="675" t="s">
        <v>56</v>
      </c>
      <c r="F640" s="676" t="s">
        <v>4448</v>
      </c>
      <c r="G640" s="676" t="s">
        <v>4427</v>
      </c>
      <c r="H640" s="678">
        <v>8.3699999999999997E-2</v>
      </c>
    </row>
    <row r="641" spans="1:8" customFormat="1" ht="15.75" thickBot="1" x14ac:dyDescent="0.3">
      <c r="A641" s="673" t="s">
        <v>4449</v>
      </c>
      <c r="B641" s="674" t="s">
        <v>3702</v>
      </c>
      <c r="C641" s="674" t="s">
        <v>1326</v>
      </c>
      <c r="D641" s="674" t="s">
        <v>1175</v>
      </c>
      <c r="E641" s="675" t="s">
        <v>56</v>
      </c>
      <c r="F641" s="676" t="s">
        <v>3711</v>
      </c>
      <c r="G641" s="676" t="s">
        <v>4450</v>
      </c>
      <c r="H641" s="677">
        <v>496.02</v>
      </c>
    </row>
    <row r="642" spans="1:8" customFormat="1" ht="15.75" thickTop="1" x14ac:dyDescent="0.25">
      <c r="A642" s="665"/>
      <c r="B642" s="666"/>
      <c r="C642" s="666"/>
      <c r="D642" s="666"/>
      <c r="E642" s="666"/>
      <c r="F642" s="666"/>
      <c r="G642" s="666"/>
      <c r="H642" s="667"/>
    </row>
    <row r="643" spans="1:8" customFormat="1" ht="15" x14ac:dyDescent="0.25">
      <c r="A643" s="668" t="s">
        <v>3457</v>
      </c>
      <c r="B643" s="669" t="s">
        <v>3697</v>
      </c>
      <c r="C643" s="669" t="s">
        <v>3460</v>
      </c>
      <c r="D643" s="669" t="s">
        <v>3462</v>
      </c>
      <c r="E643" s="670" t="s">
        <v>69</v>
      </c>
      <c r="F643" s="671" t="s">
        <v>63</v>
      </c>
      <c r="G643" s="671" t="s">
        <v>3720</v>
      </c>
      <c r="H643" s="672" t="s">
        <v>453</v>
      </c>
    </row>
    <row r="644" spans="1:8" s="658" customFormat="1" ht="22.5" x14ac:dyDescent="0.25">
      <c r="A644" s="653" t="s">
        <v>3560</v>
      </c>
      <c r="B644" s="654" t="s">
        <v>3702</v>
      </c>
      <c r="C644" s="654" t="s">
        <v>2140</v>
      </c>
      <c r="D644" s="654" t="s">
        <v>3463</v>
      </c>
      <c r="E644" s="655" t="s">
        <v>56</v>
      </c>
      <c r="F644" s="656">
        <v>1</v>
      </c>
      <c r="G644" s="656" t="s">
        <v>4451</v>
      </c>
      <c r="H644" s="657" t="s">
        <v>4451</v>
      </c>
    </row>
    <row r="645" spans="1:8" customFormat="1" ht="15" x14ac:dyDescent="0.25">
      <c r="A645" s="659" t="s">
        <v>4452</v>
      </c>
      <c r="B645" s="660" t="s">
        <v>1114</v>
      </c>
      <c r="C645" s="660" t="s">
        <v>1270</v>
      </c>
      <c r="D645" s="660" t="s">
        <v>3502</v>
      </c>
      <c r="E645" s="661" t="s">
        <v>1116</v>
      </c>
      <c r="F645" s="662" t="s">
        <v>3996</v>
      </c>
      <c r="G645" s="662" t="s">
        <v>4453</v>
      </c>
      <c r="H645" s="663">
        <v>9.548</v>
      </c>
    </row>
    <row r="646" spans="1:8" customFormat="1" ht="15" x14ac:dyDescent="0.25">
      <c r="A646" s="659" t="s">
        <v>3732</v>
      </c>
      <c r="B646" s="660" t="s">
        <v>1114</v>
      </c>
      <c r="C646" s="660" t="s">
        <v>1287</v>
      </c>
      <c r="D646" s="660" t="s">
        <v>3502</v>
      </c>
      <c r="E646" s="661" t="s">
        <v>1116</v>
      </c>
      <c r="F646" s="662" t="s">
        <v>3811</v>
      </c>
      <c r="G646" s="662" t="s">
        <v>3734</v>
      </c>
      <c r="H646" s="663">
        <v>14.858000000000001</v>
      </c>
    </row>
    <row r="647" spans="1:8" customFormat="1" ht="15" x14ac:dyDescent="0.25">
      <c r="A647" s="673" t="s">
        <v>4454</v>
      </c>
      <c r="B647" s="674" t="s">
        <v>1114</v>
      </c>
      <c r="C647" s="674" t="s">
        <v>2142</v>
      </c>
      <c r="D647" s="674" t="s">
        <v>1175</v>
      </c>
      <c r="E647" s="675" t="s">
        <v>92</v>
      </c>
      <c r="F647" s="676" t="s">
        <v>3780</v>
      </c>
      <c r="G647" s="676" t="s">
        <v>4455</v>
      </c>
      <c r="H647" s="678">
        <v>1.8456000000000001</v>
      </c>
    </row>
    <row r="648" spans="1:8" customFormat="1" ht="15" x14ac:dyDescent="0.25">
      <c r="A648" s="673" t="s">
        <v>3849</v>
      </c>
      <c r="B648" s="674" t="s">
        <v>1114</v>
      </c>
      <c r="C648" s="674" t="s">
        <v>1150</v>
      </c>
      <c r="D648" s="674" t="s">
        <v>1175</v>
      </c>
      <c r="E648" s="675" t="s">
        <v>1151</v>
      </c>
      <c r="F648" s="676" t="s">
        <v>3923</v>
      </c>
      <c r="G648" s="676" t="s">
        <v>3851</v>
      </c>
      <c r="H648" s="678">
        <v>1.5184</v>
      </c>
    </row>
    <row r="649" spans="1:8" customFormat="1" ht="15" x14ac:dyDescent="0.25">
      <c r="A649" s="673" t="s">
        <v>4456</v>
      </c>
      <c r="B649" s="674" t="s">
        <v>3702</v>
      </c>
      <c r="C649" s="674" t="s">
        <v>2143</v>
      </c>
      <c r="D649" s="674" t="s">
        <v>1175</v>
      </c>
      <c r="E649" s="675" t="s">
        <v>56</v>
      </c>
      <c r="F649" s="676" t="s">
        <v>3711</v>
      </c>
      <c r="G649" s="676" t="s">
        <v>4457</v>
      </c>
      <c r="H649" s="678">
        <v>83.1</v>
      </c>
    </row>
    <row r="650" spans="1:8" customFormat="1" ht="15.75" thickBot="1" x14ac:dyDescent="0.3">
      <c r="A650" s="673" t="s">
        <v>4458</v>
      </c>
      <c r="B650" s="674" t="s">
        <v>3702</v>
      </c>
      <c r="C650" s="674" t="s">
        <v>2144</v>
      </c>
      <c r="D650" s="674" t="s">
        <v>1175</v>
      </c>
      <c r="E650" s="675" t="s">
        <v>56</v>
      </c>
      <c r="F650" s="676" t="s">
        <v>3711</v>
      </c>
      <c r="G650" s="676" t="s">
        <v>4459</v>
      </c>
      <c r="H650" s="677">
        <v>471.32</v>
      </c>
    </row>
    <row r="651" spans="1:8" customFormat="1" ht="15.75" thickTop="1" x14ac:dyDescent="0.25">
      <c r="A651" s="665"/>
      <c r="B651" s="666"/>
      <c r="C651" s="666"/>
      <c r="D651" s="666"/>
      <c r="E651" s="666"/>
      <c r="F651" s="666"/>
      <c r="G651" s="666"/>
      <c r="H651" s="667"/>
    </row>
    <row r="652" spans="1:8" customFormat="1" ht="15" x14ac:dyDescent="0.25">
      <c r="A652" s="668" t="s">
        <v>3457</v>
      </c>
      <c r="B652" s="669" t="s">
        <v>3697</v>
      </c>
      <c r="C652" s="669" t="s">
        <v>3460</v>
      </c>
      <c r="D652" s="669" t="s">
        <v>3462</v>
      </c>
      <c r="E652" s="670" t="s">
        <v>69</v>
      </c>
      <c r="F652" s="671" t="s">
        <v>63</v>
      </c>
      <c r="G652" s="671" t="s">
        <v>3720</v>
      </c>
      <c r="H652" s="672" t="s">
        <v>453</v>
      </c>
    </row>
    <row r="653" spans="1:8" s="658" customFormat="1" ht="22.5" x14ac:dyDescent="0.25">
      <c r="A653" s="653" t="s">
        <v>3543</v>
      </c>
      <c r="B653" s="654" t="s">
        <v>3702</v>
      </c>
      <c r="C653" s="654" t="s">
        <v>2852</v>
      </c>
      <c r="D653" s="654" t="s">
        <v>3463</v>
      </c>
      <c r="E653" s="655" t="s">
        <v>56</v>
      </c>
      <c r="F653" s="656">
        <v>1</v>
      </c>
      <c r="G653" s="656" t="s">
        <v>4460</v>
      </c>
      <c r="H653" s="657" t="s">
        <v>4460</v>
      </c>
    </row>
    <row r="654" spans="1:8" customFormat="1" ht="15" x14ac:dyDescent="0.25">
      <c r="A654" s="659" t="s">
        <v>3732</v>
      </c>
      <c r="B654" s="660" t="s">
        <v>1114</v>
      </c>
      <c r="C654" s="660" t="s">
        <v>1287</v>
      </c>
      <c r="D654" s="660" t="s">
        <v>3502</v>
      </c>
      <c r="E654" s="661" t="s">
        <v>1116</v>
      </c>
      <c r="F654" s="662" t="s">
        <v>3902</v>
      </c>
      <c r="G654" s="662" t="s">
        <v>3734</v>
      </c>
      <c r="H654" s="663">
        <v>8.74</v>
      </c>
    </row>
    <row r="655" spans="1:8" customFormat="1" ht="15" x14ac:dyDescent="0.25">
      <c r="A655" s="673" t="s">
        <v>4426</v>
      </c>
      <c r="B655" s="674" t="s">
        <v>1114</v>
      </c>
      <c r="C655" s="674" t="s">
        <v>1300</v>
      </c>
      <c r="D655" s="674" t="s">
        <v>1175</v>
      </c>
      <c r="E655" s="675" t="s">
        <v>56</v>
      </c>
      <c r="F655" s="676" t="s">
        <v>4271</v>
      </c>
      <c r="G655" s="676" t="s">
        <v>4427</v>
      </c>
      <c r="H655" s="678">
        <v>0.11718000000000001</v>
      </c>
    </row>
    <row r="656" spans="1:8" customFormat="1" ht="15.75" thickBot="1" x14ac:dyDescent="0.3">
      <c r="A656" s="673" t="s">
        <v>4461</v>
      </c>
      <c r="B656" s="674" t="s">
        <v>1114</v>
      </c>
      <c r="C656" s="674" t="s">
        <v>1333</v>
      </c>
      <c r="D656" s="674" t="s">
        <v>1175</v>
      </c>
      <c r="E656" s="675" t="s">
        <v>56</v>
      </c>
      <c r="F656" s="676" t="s">
        <v>3711</v>
      </c>
      <c r="G656" s="676" t="s">
        <v>4462</v>
      </c>
      <c r="H656" s="677">
        <v>70.06</v>
      </c>
    </row>
    <row r="657" spans="1:8" customFormat="1" ht="15.75" thickTop="1" x14ac:dyDescent="0.25">
      <c r="A657" s="665"/>
      <c r="B657" s="666"/>
      <c r="C657" s="666"/>
      <c r="D657" s="666"/>
      <c r="E657" s="666"/>
      <c r="F657" s="666"/>
      <c r="G657" s="666"/>
      <c r="H657" s="667"/>
    </row>
    <row r="658" spans="1:8" customFormat="1" ht="15" x14ac:dyDescent="0.25">
      <c r="A658" s="668" t="s">
        <v>3457</v>
      </c>
      <c r="B658" s="669" t="s">
        <v>3697</v>
      </c>
      <c r="C658" s="669" t="s">
        <v>3460</v>
      </c>
      <c r="D658" s="669" t="s">
        <v>3462</v>
      </c>
      <c r="E658" s="670" t="s">
        <v>69</v>
      </c>
      <c r="F658" s="671" t="s">
        <v>63</v>
      </c>
      <c r="G658" s="671" t="s">
        <v>3720</v>
      </c>
      <c r="H658" s="672" t="s">
        <v>453</v>
      </c>
    </row>
    <row r="659" spans="1:8" s="658" customFormat="1" ht="22.5" x14ac:dyDescent="0.25">
      <c r="A659" s="653" t="s">
        <v>3467</v>
      </c>
      <c r="B659" s="654" t="s">
        <v>3702</v>
      </c>
      <c r="C659" s="654" t="s">
        <v>865</v>
      </c>
      <c r="D659" s="654" t="s">
        <v>3463</v>
      </c>
      <c r="E659" s="655" t="s">
        <v>56</v>
      </c>
      <c r="F659" s="656">
        <v>1</v>
      </c>
      <c r="G659" s="656" t="s">
        <v>4463</v>
      </c>
      <c r="H659" s="657" t="s">
        <v>4463</v>
      </c>
    </row>
    <row r="660" spans="1:8" customFormat="1" ht="15" x14ac:dyDescent="0.25">
      <c r="A660" s="659" t="s">
        <v>3729</v>
      </c>
      <c r="B660" s="660" t="s">
        <v>1114</v>
      </c>
      <c r="C660" s="660" t="s">
        <v>1299</v>
      </c>
      <c r="D660" s="660" t="s">
        <v>3502</v>
      </c>
      <c r="E660" s="661" t="s">
        <v>1116</v>
      </c>
      <c r="F660" s="662" t="s">
        <v>3902</v>
      </c>
      <c r="G660" s="662" t="s">
        <v>3731</v>
      </c>
      <c r="H660" s="663">
        <v>7.125</v>
      </c>
    </row>
    <row r="661" spans="1:8" customFormat="1" ht="15" x14ac:dyDescent="0.25">
      <c r="A661" s="659" t="s">
        <v>3732</v>
      </c>
      <c r="B661" s="660" t="s">
        <v>1114</v>
      </c>
      <c r="C661" s="660" t="s">
        <v>1287</v>
      </c>
      <c r="D661" s="660" t="s">
        <v>3502</v>
      </c>
      <c r="E661" s="661" t="s">
        <v>1116</v>
      </c>
      <c r="F661" s="662" t="s">
        <v>3902</v>
      </c>
      <c r="G661" s="662" t="s">
        <v>3734</v>
      </c>
      <c r="H661" s="663">
        <v>8.74</v>
      </c>
    </row>
    <row r="662" spans="1:8" customFormat="1" ht="15.75" thickBot="1" x14ac:dyDescent="0.3">
      <c r="A662" s="673" t="s">
        <v>4464</v>
      </c>
      <c r="B662" s="674" t="s">
        <v>1114</v>
      </c>
      <c r="C662" s="674" t="s">
        <v>1334</v>
      </c>
      <c r="D662" s="674" t="s">
        <v>1175</v>
      </c>
      <c r="E662" s="675" t="s">
        <v>56</v>
      </c>
      <c r="F662" s="676" t="s">
        <v>3711</v>
      </c>
      <c r="G662" s="676" t="s">
        <v>4465</v>
      </c>
      <c r="H662" s="677">
        <v>21.1</v>
      </c>
    </row>
    <row r="663" spans="1:8" customFormat="1" ht="15.75" thickTop="1" x14ac:dyDescent="0.25">
      <c r="A663" s="665"/>
      <c r="B663" s="666"/>
      <c r="C663" s="666"/>
      <c r="D663" s="666"/>
      <c r="E663" s="666"/>
      <c r="F663" s="666"/>
      <c r="G663" s="666"/>
      <c r="H663" s="667"/>
    </row>
    <row r="664" spans="1:8" customFormat="1" ht="15" x14ac:dyDescent="0.25">
      <c r="A664" s="668" t="s">
        <v>3457</v>
      </c>
      <c r="B664" s="669" t="s">
        <v>3697</v>
      </c>
      <c r="C664" s="669" t="s">
        <v>3460</v>
      </c>
      <c r="D664" s="669" t="s">
        <v>3462</v>
      </c>
      <c r="E664" s="670" t="s">
        <v>69</v>
      </c>
      <c r="F664" s="671" t="s">
        <v>63</v>
      </c>
      <c r="G664" s="671" t="s">
        <v>3720</v>
      </c>
      <c r="H664" s="672" t="s">
        <v>453</v>
      </c>
    </row>
    <row r="665" spans="1:8" s="658" customFormat="1" ht="22.5" x14ac:dyDescent="0.25">
      <c r="A665" s="653" t="s">
        <v>3473</v>
      </c>
      <c r="B665" s="654" t="s">
        <v>3702</v>
      </c>
      <c r="C665" s="654" t="s">
        <v>820</v>
      </c>
      <c r="D665" s="654" t="s">
        <v>3463</v>
      </c>
      <c r="E665" s="655" t="s">
        <v>56</v>
      </c>
      <c r="F665" s="656">
        <v>1</v>
      </c>
      <c r="G665" s="656" t="s">
        <v>4466</v>
      </c>
      <c r="H665" s="657" t="s">
        <v>4466</v>
      </c>
    </row>
    <row r="666" spans="1:8" customFormat="1" ht="15" x14ac:dyDescent="0.25">
      <c r="A666" s="659" t="s">
        <v>3729</v>
      </c>
      <c r="B666" s="660" t="s">
        <v>1114</v>
      </c>
      <c r="C666" s="660" t="s">
        <v>1299</v>
      </c>
      <c r="D666" s="660" t="s">
        <v>3502</v>
      </c>
      <c r="E666" s="661" t="s">
        <v>1116</v>
      </c>
      <c r="F666" s="662" t="s">
        <v>4467</v>
      </c>
      <c r="G666" s="662" t="s">
        <v>3731</v>
      </c>
      <c r="H666" s="663">
        <v>6.5550000000000006</v>
      </c>
    </row>
    <row r="667" spans="1:8" customFormat="1" ht="15" x14ac:dyDescent="0.25">
      <c r="A667" s="659" t="s">
        <v>3732</v>
      </c>
      <c r="B667" s="660" t="s">
        <v>1114</v>
      </c>
      <c r="C667" s="660" t="s">
        <v>1287</v>
      </c>
      <c r="D667" s="660" t="s">
        <v>3502</v>
      </c>
      <c r="E667" s="661" t="s">
        <v>1116</v>
      </c>
      <c r="F667" s="662" t="s">
        <v>4467</v>
      </c>
      <c r="G667" s="662" t="s">
        <v>3734</v>
      </c>
      <c r="H667" s="663">
        <v>8.0408000000000008</v>
      </c>
    </row>
    <row r="668" spans="1:8" customFormat="1" ht="15" x14ac:dyDescent="0.25">
      <c r="A668" s="673" t="s">
        <v>4468</v>
      </c>
      <c r="B668" s="674" t="s">
        <v>1114</v>
      </c>
      <c r="C668" s="674" t="s">
        <v>1335</v>
      </c>
      <c r="D668" s="674" t="s">
        <v>1175</v>
      </c>
      <c r="E668" s="675" t="s">
        <v>56</v>
      </c>
      <c r="F668" s="676" t="s">
        <v>3711</v>
      </c>
      <c r="G668" s="676" t="s">
        <v>4469</v>
      </c>
      <c r="H668" s="678">
        <v>1.98</v>
      </c>
    </row>
    <row r="669" spans="1:8" customFormat="1" ht="15" x14ac:dyDescent="0.25">
      <c r="A669" s="673" t="s">
        <v>4470</v>
      </c>
      <c r="B669" s="674" t="s">
        <v>1114</v>
      </c>
      <c r="C669" s="674" t="s">
        <v>1293</v>
      </c>
      <c r="D669" s="674" t="s">
        <v>1175</v>
      </c>
      <c r="E669" s="675" t="s">
        <v>56</v>
      </c>
      <c r="F669" s="676" t="s">
        <v>3711</v>
      </c>
      <c r="G669" s="676" t="s">
        <v>3884</v>
      </c>
      <c r="H669" s="678">
        <v>1.1100000000000001</v>
      </c>
    </row>
    <row r="670" spans="1:8" customFormat="1" ht="22.5" x14ac:dyDescent="0.25">
      <c r="A670" s="673" t="s">
        <v>4471</v>
      </c>
      <c r="B670" s="674" t="s">
        <v>1114</v>
      </c>
      <c r="C670" s="674" t="s">
        <v>4472</v>
      </c>
      <c r="D670" s="674" t="s">
        <v>1175</v>
      </c>
      <c r="E670" s="675" t="s">
        <v>56</v>
      </c>
      <c r="F670" s="676" t="s">
        <v>3711</v>
      </c>
      <c r="G670" s="676" t="s">
        <v>4473</v>
      </c>
      <c r="H670" s="678">
        <v>14.34</v>
      </c>
    </row>
    <row r="671" spans="1:8" customFormat="1" ht="23.25" thickBot="1" x14ac:dyDescent="0.3">
      <c r="A671" s="673" t="s">
        <v>4474</v>
      </c>
      <c r="B671" s="674" t="s">
        <v>1114</v>
      </c>
      <c r="C671" s="674" t="s">
        <v>1292</v>
      </c>
      <c r="D671" s="674" t="s">
        <v>1175</v>
      </c>
      <c r="E671" s="675" t="s">
        <v>56</v>
      </c>
      <c r="F671" s="676" t="s">
        <v>3839</v>
      </c>
      <c r="G671" s="676" t="s">
        <v>4475</v>
      </c>
      <c r="H671" s="677">
        <v>0.66120000000000001</v>
      </c>
    </row>
    <row r="672" spans="1:8" customFormat="1" ht="15.75" thickTop="1" x14ac:dyDescent="0.25">
      <c r="A672" s="665"/>
      <c r="B672" s="666"/>
      <c r="C672" s="666"/>
      <c r="D672" s="666"/>
      <c r="E672" s="666"/>
      <c r="F672" s="666"/>
      <c r="G672" s="666"/>
      <c r="H672" s="667"/>
    </row>
    <row r="673" spans="1:8" customFormat="1" ht="15" x14ac:dyDescent="0.25">
      <c r="A673" s="668" t="s">
        <v>3457</v>
      </c>
      <c r="B673" s="669" t="s">
        <v>3697</v>
      </c>
      <c r="C673" s="669" t="s">
        <v>3460</v>
      </c>
      <c r="D673" s="669" t="s">
        <v>3462</v>
      </c>
      <c r="E673" s="670" t="s">
        <v>69</v>
      </c>
      <c r="F673" s="671" t="s">
        <v>63</v>
      </c>
      <c r="G673" s="671" t="s">
        <v>3720</v>
      </c>
      <c r="H673" s="672" t="s">
        <v>453</v>
      </c>
    </row>
    <row r="674" spans="1:8" s="658" customFormat="1" ht="22.5" x14ac:dyDescent="0.25">
      <c r="A674" s="653" t="s">
        <v>3469</v>
      </c>
      <c r="B674" s="654" t="s">
        <v>3702</v>
      </c>
      <c r="C674" s="654" t="s">
        <v>870</v>
      </c>
      <c r="D674" s="654" t="s">
        <v>3463</v>
      </c>
      <c r="E674" s="655" t="s">
        <v>56</v>
      </c>
      <c r="F674" s="656">
        <v>1</v>
      </c>
      <c r="G674" s="656" t="s">
        <v>4476</v>
      </c>
      <c r="H674" s="657" t="s">
        <v>4476</v>
      </c>
    </row>
    <row r="675" spans="1:8" customFormat="1" ht="15" x14ac:dyDescent="0.25">
      <c r="A675" s="659" t="s">
        <v>3729</v>
      </c>
      <c r="B675" s="660" t="s">
        <v>1114</v>
      </c>
      <c r="C675" s="660" t="s">
        <v>1299</v>
      </c>
      <c r="D675" s="660" t="s">
        <v>3502</v>
      </c>
      <c r="E675" s="661" t="s">
        <v>1116</v>
      </c>
      <c r="F675" s="662" t="s">
        <v>4477</v>
      </c>
      <c r="G675" s="662" t="s">
        <v>3731</v>
      </c>
      <c r="H675" s="663">
        <v>5.2725</v>
      </c>
    </row>
    <row r="676" spans="1:8" customFormat="1" ht="15" x14ac:dyDescent="0.25">
      <c r="A676" s="659" t="s">
        <v>3732</v>
      </c>
      <c r="B676" s="660" t="s">
        <v>1114</v>
      </c>
      <c r="C676" s="660" t="s">
        <v>1287</v>
      </c>
      <c r="D676" s="660" t="s">
        <v>3502</v>
      </c>
      <c r="E676" s="661" t="s">
        <v>1116</v>
      </c>
      <c r="F676" s="662" t="s">
        <v>4477</v>
      </c>
      <c r="G676" s="662" t="s">
        <v>3734</v>
      </c>
      <c r="H676" s="663">
        <v>6.4676</v>
      </c>
    </row>
    <row r="677" spans="1:8" customFormat="1" ht="15" x14ac:dyDescent="0.25">
      <c r="A677" s="673" t="s">
        <v>4478</v>
      </c>
      <c r="B677" s="674" t="s">
        <v>1114</v>
      </c>
      <c r="C677" s="674" t="s">
        <v>1336</v>
      </c>
      <c r="D677" s="674" t="s">
        <v>1175</v>
      </c>
      <c r="E677" s="675" t="s">
        <v>56</v>
      </c>
      <c r="F677" s="676" t="s">
        <v>3711</v>
      </c>
      <c r="G677" s="676" t="s">
        <v>4479</v>
      </c>
      <c r="H677" s="678">
        <v>1.57</v>
      </c>
    </row>
    <row r="678" spans="1:8" customFormat="1" ht="15" x14ac:dyDescent="0.25">
      <c r="A678" s="673" t="s">
        <v>4470</v>
      </c>
      <c r="B678" s="674" t="s">
        <v>1114</v>
      </c>
      <c r="C678" s="674" t="s">
        <v>1293</v>
      </c>
      <c r="D678" s="674" t="s">
        <v>1175</v>
      </c>
      <c r="E678" s="675" t="s">
        <v>56</v>
      </c>
      <c r="F678" s="676" t="s">
        <v>3711</v>
      </c>
      <c r="G678" s="676" t="s">
        <v>3884</v>
      </c>
      <c r="H678" s="678">
        <v>1.1100000000000001</v>
      </c>
    </row>
    <row r="679" spans="1:8" customFormat="1" ht="22.5" x14ac:dyDescent="0.25">
      <c r="A679" s="673" t="s">
        <v>4480</v>
      </c>
      <c r="B679" s="674" t="s">
        <v>1114</v>
      </c>
      <c r="C679" s="674" t="s">
        <v>4481</v>
      </c>
      <c r="D679" s="674" t="s">
        <v>1175</v>
      </c>
      <c r="E679" s="675" t="s">
        <v>56</v>
      </c>
      <c r="F679" s="676" t="s">
        <v>3711</v>
      </c>
      <c r="G679" s="676" t="s">
        <v>4482</v>
      </c>
      <c r="H679" s="678">
        <v>10.49</v>
      </c>
    </row>
    <row r="680" spans="1:8" customFormat="1" ht="23.25" thickBot="1" x14ac:dyDescent="0.3">
      <c r="A680" s="673" t="s">
        <v>4474</v>
      </c>
      <c r="B680" s="674" t="s">
        <v>1114</v>
      </c>
      <c r="C680" s="674" t="s">
        <v>1292</v>
      </c>
      <c r="D680" s="674" t="s">
        <v>1175</v>
      </c>
      <c r="E680" s="675" t="s">
        <v>56</v>
      </c>
      <c r="F680" s="676" t="s">
        <v>4448</v>
      </c>
      <c r="G680" s="676" t="s">
        <v>4475</v>
      </c>
      <c r="H680" s="677">
        <v>0.49590000000000001</v>
      </c>
    </row>
    <row r="681" spans="1:8" customFormat="1" ht="15.75" thickTop="1" x14ac:dyDescent="0.25">
      <c r="A681" s="665"/>
      <c r="B681" s="666"/>
      <c r="C681" s="666"/>
      <c r="D681" s="666"/>
      <c r="E681" s="666"/>
      <c r="F681" s="666"/>
      <c r="G681" s="666"/>
      <c r="H681" s="667"/>
    </row>
    <row r="682" spans="1:8" customFormat="1" ht="15" x14ac:dyDescent="0.25">
      <c r="A682" s="668" t="s">
        <v>3457</v>
      </c>
      <c r="B682" s="669" t="s">
        <v>3697</v>
      </c>
      <c r="C682" s="669" t="s">
        <v>3460</v>
      </c>
      <c r="D682" s="669" t="s">
        <v>3462</v>
      </c>
      <c r="E682" s="670" t="s">
        <v>69</v>
      </c>
      <c r="F682" s="671" t="s">
        <v>63</v>
      </c>
      <c r="G682" s="671" t="s">
        <v>3720</v>
      </c>
      <c r="H682" s="672" t="s">
        <v>453</v>
      </c>
    </row>
    <row r="683" spans="1:8" s="658" customFormat="1" ht="22.5" x14ac:dyDescent="0.25">
      <c r="A683" s="653" t="s">
        <v>3471</v>
      </c>
      <c r="B683" s="654" t="s">
        <v>3702</v>
      </c>
      <c r="C683" s="654" t="s">
        <v>2869</v>
      </c>
      <c r="D683" s="654" t="s">
        <v>3463</v>
      </c>
      <c r="E683" s="655" t="s">
        <v>56</v>
      </c>
      <c r="F683" s="656">
        <v>1</v>
      </c>
      <c r="G683" s="656" t="s">
        <v>4483</v>
      </c>
      <c r="H683" s="657" t="s">
        <v>4483</v>
      </c>
    </row>
    <row r="684" spans="1:8" customFormat="1" ht="15" x14ac:dyDescent="0.25">
      <c r="A684" s="659" t="s">
        <v>3737</v>
      </c>
      <c r="B684" s="660" t="s">
        <v>1114</v>
      </c>
      <c r="C684" s="660" t="s">
        <v>1134</v>
      </c>
      <c r="D684" s="660" t="s">
        <v>3502</v>
      </c>
      <c r="E684" s="661" t="s">
        <v>1116</v>
      </c>
      <c r="F684" s="662" t="s">
        <v>4270</v>
      </c>
      <c r="G684" s="662" t="s">
        <v>3739</v>
      </c>
      <c r="H684" s="663">
        <v>3.1924000000000001</v>
      </c>
    </row>
    <row r="685" spans="1:8" customFormat="1" ht="15" x14ac:dyDescent="0.25">
      <c r="A685" s="659" t="s">
        <v>3732</v>
      </c>
      <c r="B685" s="660" t="s">
        <v>1114</v>
      </c>
      <c r="C685" s="660" t="s">
        <v>1287</v>
      </c>
      <c r="D685" s="660" t="s">
        <v>3502</v>
      </c>
      <c r="E685" s="661" t="s">
        <v>1116</v>
      </c>
      <c r="F685" s="662" t="s">
        <v>4270</v>
      </c>
      <c r="G685" s="662" t="s">
        <v>3734</v>
      </c>
      <c r="H685" s="663">
        <v>4.0204000000000004</v>
      </c>
    </row>
    <row r="686" spans="1:8" customFormat="1" ht="15" x14ac:dyDescent="0.25">
      <c r="A686" s="673" t="s">
        <v>4227</v>
      </c>
      <c r="B686" s="674" t="s">
        <v>1114</v>
      </c>
      <c r="C686" s="674" t="s">
        <v>1288</v>
      </c>
      <c r="D686" s="674" t="s">
        <v>1175</v>
      </c>
      <c r="E686" s="675" t="s">
        <v>56</v>
      </c>
      <c r="F686" s="676" t="s">
        <v>4280</v>
      </c>
      <c r="G686" s="676" t="s">
        <v>4229</v>
      </c>
      <c r="H686" s="678">
        <v>1.49028</v>
      </c>
    </row>
    <row r="687" spans="1:8" customFormat="1" ht="15" x14ac:dyDescent="0.25">
      <c r="A687" s="673" t="s">
        <v>4232</v>
      </c>
      <c r="B687" s="674" t="s">
        <v>1114</v>
      </c>
      <c r="C687" s="674" t="s">
        <v>1289</v>
      </c>
      <c r="D687" s="674" t="s">
        <v>1175</v>
      </c>
      <c r="E687" s="675" t="s">
        <v>56</v>
      </c>
      <c r="F687" s="676" t="s">
        <v>4484</v>
      </c>
      <c r="G687" s="676" t="s">
        <v>4233</v>
      </c>
      <c r="H687" s="678">
        <v>2.0002199999999997</v>
      </c>
    </row>
    <row r="688" spans="1:8" customFormat="1" ht="15.75" thickBot="1" x14ac:dyDescent="0.3">
      <c r="A688" s="673" t="s">
        <v>4485</v>
      </c>
      <c r="B688" s="674" t="s">
        <v>1114</v>
      </c>
      <c r="C688" s="674" t="s">
        <v>1337</v>
      </c>
      <c r="D688" s="674" t="s">
        <v>1175</v>
      </c>
      <c r="E688" s="675" t="s">
        <v>56</v>
      </c>
      <c r="F688" s="676" t="s">
        <v>3711</v>
      </c>
      <c r="G688" s="676" t="s">
        <v>4486</v>
      </c>
      <c r="H688" s="677">
        <v>1.88</v>
      </c>
    </row>
    <row r="689" spans="1:8" customFormat="1" ht="15.75" thickTop="1" x14ac:dyDescent="0.25">
      <c r="A689" s="665"/>
      <c r="B689" s="666"/>
      <c r="C689" s="666"/>
      <c r="D689" s="666"/>
      <c r="E689" s="666"/>
      <c r="F689" s="666"/>
      <c r="G689" s="666"/>
      <c r="H689" s="667"/>
    </row>
    <row r="690" spans="1:8" customFormat="1" ht="15" x14ac:dyDescent="0.25">
      <c r="A690" s="668" t="s">
        <v>3457</v>
      </c>
      <c r="B690" s="669" t="s">
        <v>3697</v>
      </c>
      <c r="C690" s="669" t="s">
        <v>3460</v>
      </c>
      <c r="D690" s="669" t="s">
        <v>3462</v>
      </c>
      <c r="E690" s="670" t="s">
        <v>69</v>
      </c>
      <c r="F690" s="671" t="s">
        <v>63</v>
      </c>
      <c r="G690" s="671" t="s">
        <v>3720</v>
      </c>
      <c r="H690" s="672" t="s">
        <v>453</v>
      </c>
    </row>
    <row r="691" spans="1:8" s="658" customFormat="1" ht="22.5" x14ac:dyDescent="0.25">
      <c r="A691" s="653" t="s">
        <v>3475</v>
      </c>
      <c r="B691" s="654" t="s">
        <v>3702</v>
      </c>
      <c r="C691" s="654" t="s">
        <v>873</v>
      </c>
      <c r="D691" s="654" t="s">
        <v>3463</v>
      </c>
      <c r="E691" s="655" t="s">
        <v>56</v>
      </c>
      <c r="F691" s="656">
        <v>1</v>
      </c>
      <c r="G691" s="656" t="s">
        <v>4487</v>
      </c>
      <c r="H691" s="657" t="s">
        <v>4487</v>
      </c>
    </row>
    <row r="692" spans="1:8" customFormat="1" ht="15" x14ac:dyDescent="0.25">
      <c r="A692" s="659" t="s">
        <v>3732</v>
      </c>
      <c r="B692" s="660" t="s">
        <v>1114</v>
      </c>
      <c r="C692" s="660" t="s">
        <v>1287</v>
      </c>
      <c r="D692" s="660" t="s">
        <v>3502</v>
      </c>
      <c r="E692" s="661" t="s">
        <v>1116</v>
      </c>
      <c r="F692" s="662" t="s">
        <v>4186</v>
      </c>
      <c r="G692" s="662" t="s">
        <v>3734</v>
      </c>
      <c r="H692" s="663">
        <v>1.2236000000000002</v>
      </c>
    </row>
    <row r="693" spans="1:8" customFormat="1" ht="15" x14ac:dyDescent="0.25">
      <c r="A693" s="659" t="s">
        <v>3737</v>
      </c>
      <c r="B693" s="660" t="s">
        <v>1114</v>
      </c>
      <c r="C693" s="660" t="s">
        <v>1134</v>
      </c>
      <c r="D693" s="660" t="s">
        <v>3502</v>
      </c>
      <c r="E693" s="661" t="s">
        <v>1116</v>
      </c>
      <c r="F693" s="662" t="s">
        <v>4186</v>
      </c>
      <c r="G693" s="662" t="s">
        <v>3739</v>
      </c>
      <c r="H693" s="663">
        <v>0.97160000000000013</v>
      </c>
    </row>
    <row r="694" spans="1:8" customFormat="1" ht="15" x14ac:dyDescent="0.25">
      <c r="A694" s="673" t="s">
        <v>4488</v>
      </c>
      <c r="B694" s="674" t="s">
        <v>1114</v>
      </c>
      <c r="C694" s="674" t="s">
        <v>1339</v>
      </c>
      <c r="D694" s="674" t="s">
        <v>1175</v>
      </c>
      <c r="E694" s="675" t="s">
        <v>56</v>
      </c>
      <c r="F694" s="676" t="s">
        <v>3711</v>
      </c>
      <c r="G694" s="676" t="s">
        <v>4489</v>
      </c>
      <c r="H694" s="678">
        <v>5.42</v>
      </c>
    </row>
    <row r="695" spans="1:8" customFormat="1" ht="15" x14ac:dyDescent="0.25">
      <c r="A695" s="673" t="s">
        <v>4470</v>
      </c>
      <c r="B695" s="674" t="s">
        <v>1114</v>
      </c>
      <c r="C695" s="674" t="s">
        <v>1293</v>
      </c>
      <c r="D695" s="674" t="s">
        <v>1175</v>
      </c>
      <c r="E695" s="675" t="s">
        <v>56</v>
      </c>
      <c r="F695" s="676" t="s">
        <v>3711</v>
      </c>
      <c r="G695" s="676" t="s">
        <v>3884</v>
      </c>
      <c r="H695" s="678">
        <v>1.1100000000000001</v>
      </c>
    </row>
    <row r="696" spans="1:8" customFormat="1" ht="23.25" thickBot="1" x14ac:dyDescent="0.3">
      <c r="A696" s="673" t="s">
        <v>4474</v>
      </c>
      <c r="B696" s="674" t="s">
        <v>1114</v>
      </c>
      <c r="C696" s="674" t="s">
        <v>1292</v>
      </c>
      <c r="D696" s="674" t="s">
        <v>1175</v>
      </c>
      <c r="E696" s="675" t="s">
        <v>56</v>
      </c>
      <c r="F696" s="676" t="s">
        <v>4490</v>
      </c>
      <c r="G696" s="676" t="s">
        <v>4475</v>
      </c>
      <c r="H696" s="677">
        <v>0.13224000000000002</v>
      </c>
    </row>
    <row r="697" spans="1:8" customFormat="1" ht="15.75" thickTop="1" x14ac:dyDescent="0.25">
      <c r="A697" s="665"/>
      <c r="B697" s="666"/>
      <c r="C697" s="666"/>
      <c r="D697" s="666"/>
      <c r="E697" s="666"/>
      <c r="F697" s="666"/>
      <c r="G697" s="666"/>
      <c r="H697" s="667"/>
    </row>
    <row r="698" spans="1:8" customFormat="1" ht="15" x14ac:dyDescent="0.25">
      <c r="A698" s="668" t="s">
        <v>3457</v>
      </c>
      <c r="B698" s="669" t="s">
        <v>3697</v>
      </c>
      <c r="C698" s="669" t="s">
        <v>3460</v>
      </c>
      <c r="D698" s="669" t="s">
        <v>3462</v>
      </c>
      <c r="E698" s="670" t="s">
        <v>69</v>
      </c>
      <c r="F698" s="671" t="s">
        <v>63</v>
      </c>
      <c r="G698" s="671" t="s">
        <v>3720</v>
      </c>
      <c r="H698" s="672" t="s">
        <v>453</v>
      </c>
    </row>
    <row r="699" spans="1:8" s="658" customFormat="1" ht="22.5" x14ac:dyDescent="0.25">
      <c r="A699" s="653" t="s">
        <v>3567</v>
      </c>
      <c r="B699" s="654" t="s">
        <v>3702</v>
      </c>
      <c r="C699" s="654" t="s">
        <v>2315</v>
      </c>
      <c r="D699" s="654" t="s">
        <v>3463</v>
      </c>
      <c r="E699" s="655" t="s">
        <v>56</v>
      </c>
      <c r="F699" s="656">
        <v>1</v>
      </c>
      <c r="G699" s="656" t="s">
        <v>4491</v>
      </c>
      <c r="H699" s="657" t="s">
        <v>4491</v>
      </c>
    </row>
    <row r="700" spans="1:8" customFormat="1" ht="22.5" x14ac:dyDescent="0.25">
      <c r="A700" s="659" t="s">
        <v>4293</v>
      </c>
      <c r="B700" s="660" t="s">
        <v>1114</v>
      </c>
      <c r="C700" s="660" t="s">
        <v>4294</v>
      </c>
      <c r="D700" s="660" t="s">
        <v>3482</v>
      </c>
      <c r="E700" s="661" t="s">
        <v>273</v>
      </c>
      <c r="F700" s="662" t="s">
        <v>4492</v>
      </c>
      <c r="G700" s="662" t="s">
        <v>4296</v>
      </c>
      <c r="H700" s="663">
        <v>1343.9502</v>
      </c>
    </row>
    <row r="701" spans="1:8" customFormat="1" ht="22.5" x14ac:dyDescent="0.25">
      <c r="A701" s="659" t="s">
        <v>4493</v>
      </c>
      <c r="B701" s="660" t="s">
        <v>1114</v>
      </c>
      <c r="C701" s="660" t="s">
        <v>1340</v>
      </c>
      <c r="D701" s="660" t="s">
        <v>3498</v>
      </c>
      <c r="E701" s="661" t="s">
        <v>273</v>
      </c>
      <c r="F701" s="662" t="s">
        <v>4268</v>
      </c>
      <c r="G701" s="662" t="s">
        <v>4494</v>
      </c>
      <c r="H701" s="663">
        <v>341.62240000000003</v>
      </c>
    </row>
    <row r="702" spans="1:8" customFormat="1" ht="22.5" x14ac:dyDescent="0.25">
      <c r="A702" s="659" t="s">
        <v>4495</v>
      </c>
      <c r="B702" s="660" t="s">
        <v>1114</v>
      </c>
      <c r="C702" s="660" t="s">
        <v>1296</v>
      </c>
      <c r="D702" s="660" t="s">
        <v>3498</v>
      </c>
      <c r="E702" s="661" t="s">
        <v>273</v>
      </c>
      <c r="F702" s="662" t="s">
        <v>4496</v>
      </c>
      <c r="G702" s="662" t="s">
        <v>4497</v>
      </c>
      <c r="H702" s="663">
        <v>345.154</v>
      </c>
    </row>
    <row r="703" spans="1:8" customFormat="1" ht="22.5" x14ac:dyDescent="0.25">
      <c r="A703" s="659" t="s">
        <v>4297</v>
      </c>
      <c r="B703" s="660" t="s">
        <v>1114</v>
      </c>
      <c r="C703" s="660" t="s">
        <v>2123</v>
      </c>
      <c r="D703" s="660" t="s">
        <v>3482</v>
      </c>
      <c r="E703" s="661" t="s">
        <v>273</v>
      </c>
      <c r="F703" s="662" t="s">
        <v>4492</v>
      </c>
      <c r="G703" s="662" t="s">
        <v>4298</v>
      </c>
      <c r="H703" s="663">
        <v>408.02159999999998</v>
      </c>
    </row>
    <row r="704" spans="1:8" customFormat="1" ht="22.5" x14ac:dyDescent="0.25">
      <c r="A704" s="659" t="s">
        <v>4121</v>
      </c>
      <c r="B704" s="660" t="s">
        <v>1114</v>
      </c>
      <c r="C704" s="660" t="s">
        <v>503</v>
      </c>
      <c r="D704" s="660" t="s">
        <v>3498</v>
      </c>
      <c r="E704" s="661" t="s">
        <v>273</v>
      </c>
      <c r="F704" s="662" t="s">
        <v>4498</v>
      </c>
      <c r="G704" s="662" t="s">
        <v>4122</v>
      </c>
      <c r="H704" s="663">
        <v>2454.9850000000001</v>
      </c>
    </row>
    <row r="705" spans="1:8" customFormat="1" ht="33.75" x14ac:dyDescent="0.25">
      <c r="A705" s="659" t="s">
        <v>4347</v>
      </c>
      <c r="B705" s="660" t="s">
        <v>1114</v>
      </c>
      <c r="C705" s="660" t="s">
        <v>532</v>
      </c>
      <c r="D705" s="660" t="s">
        <v>3482</v>
      </c>
      <c r="E705" s="661" t="s">
        <v>106</v>
      </c>
      <c r="F705" s="662" t="s">
        <v>4499</v>
      </c>
      <c r="G705" s="662" t="s">
        <v>4349</v>
      </c>
      <c r="H705" s="663">
        <v>2688.3920000000003</v>
      </c>
    </row>
    <row r="706" spans="1:8" customFormat="1" ht="22.5" x14ac:dyDescent="0.25">
      <c r="A706" s="659" t="s">
        <v>4500</v>
      </c>
      <c r="B706" s="660" t="s">
        <v>1114</v>
      </c>
      <c r="C706" s="660" t="s">
        <v>1341</v>
      </c>
      <c r="D706" s="660" t="s">
        <v>3482</v>
      </c>
      <c r="E706" s="661" t="s">
        <v>92</v>
      </c>
      <c r="F706" s="662" t="s">
        <v>4501</v>
      </c>
      <c r="G706" s="662" t="s">
        <v>4502</v>
      </c>
      <c r="H706" s="663">
        <v>301.1123</v>
      </c>
    </row>
    <row r="707" spans="1:8" customFormat="1" ht="33.75" x14ac:dyDescent="0.25">
      <c r="A707" s="659" t="s">
        <v>4359</v>
      </c>
      <c r="B707" s="660" t="s">
        <v>1114</v>
      </c>
      <c r="C707" s="660" t="s">
        <v>536</v>
      </c>
      <c r="D707" s="660" t="s">
        <v>3482</v>
      </c>
      <c r="E707" s="661" t="s">
        <v>92</v>
      </c>
      <c r="F707" s="662" t="s">
        <v>4503</v>
      </c>
      <c r="G707" s="662" t="s">
        <v>3823</v>
      </c>
      <c r="H707" s="663">
        <v>862.95199999999988</v>
      </c>
    </row>
    <row r="708" spans="1:8" customFormat="1" ht="33.75" x14ac:dyDescent="0.25">
      <c r="A708" s="659" t="s">
        <v>4112</v>
      </c>
      <c r="B708" s="660" t="s">
        <v>1114</v>
      </c>
      <c r="C708" s="660" t="s">
        <v>533</v>
      </c>
      <c r="D708" s="660" t="s">
        <v>3482</v>
      </c>
      <c r="E708" s="661" t="s">
        <v>92</v>
      </c>
      <c r="F708" s="662" t="s">
        <v>4504</v>
      </c>
      <c r="G708" s="662" t="s">
        <v>4114</v>
      </c>
      <c r="H708" s="663">
        <v>303.03719999999998</v>
      </c>
    </row>
    <row r="709" spans="1:8" customFormat="1" ht="33.75" x14ac:dyDescent="0.25">
      <c r="A709" s="659" t="s">
        <v>4505</v>
      </c>
      <c r="B709" s="660" t="s">
        <v>1114</v>
      </c>
      <c r="C709" s="660" t="s">
        <v>1342</v>
      </c>
      <c r="D709" s="660" t="s">
        <v>3512</v>
      </c>
      <c r="E709" s="661" t="s">
        <v>56</v>
      </c>
      <c r="F709" s="662" t="s">
        <v>3826</v>
      </c>
      <c r="G709" s="662" t="s">
        <v>4506</v>
      </c>
      <c r="H709" s="663">
        <v>797.98</v>
      </c>
    </row>
    <row r="710" spans="1:8" customFormat="1" ht="22.5" x14ac:dyDescent="0.25">
      <c r="A710" s="659" t="s">
        <v>4507</v>
      </c>
      <c r="B710" s="660" t="s">
        <v>1114</v>
      </c>
      <c r="C710" s="660" t="s">
        <v>4508</v>
      </c>
      <c r="D710" s="660" t="s">
        <v>4344</v>
      </c>
      <c r="E710" s="661" t="s">
        <v>106</v>
      </c>
      <c r="F710" s="662" t="s">
        <v>4509</v>
      </c>
      <c r="G710" s="662" t="s">
        <v>4510</v>
      </c>
      <c r="H710" s="663">
        <v>721.23479999999995</v>
      </c>
    </row>
    <row r="711" spans="1:8" customFormat="1" ht="33.75" x14ac:dyDescent="0.25">
      <c r="A711" s="659" t="s">
        <v>4110</v>
      </c>
      <c r="B711" s="660" t="s">
        <v>1114</v>
      </c>
      <c r="C711" s="660" t="s">
        <v>2738</v>
      </c>
      <c r="D711" s="660" t="s">
        <v>3489</v>
      </c>
      <c r="E711" s="661" t="s">
        <v>106</v>
      </c>
      <c r="F711" s="662" t="s">
        <v>4509</v>
      </c>
      <c r="G711" s="662" t="s">
        <v>4111</v>
      </c>
      <c r="H711" s="663">
        <v>65.89439999999999</v>
      </c>
    </row>
    <row r="712" spans="1:8" customFormat="1" ht="45" x14ac:dyDescent="0.25">
      <c r="A712" s="659" t="s">
        <v>4153</v>
      </c>
      <c r="B712" s="660" t="s">
        <v>1114</v>
      </c>
      <c r="C712" s="660" t="s">
        <v>771</v>
      </c>
      <c r="D712" s="660" t="s">
        <v>3489</v>
      </c>
      <c r="E712" s="661" t="s">
        <v>106</v>
      </c>
      <c r="F712" s="662" t="s">
        <v>4509</v>
      </c>
      <c r="G712" s="662" t="s">
        <v>4155</v>
      </c>
      <c r="H712" s="663">
        <v>594.33659999999998</v>
      </c>
    </row>
    <row r="713" spans="1:8" customFormat="1" ht="22.5" x14ac:dyDescent="0.25">
      <c r="A713" s="659" t="s">
        <v>4212</v>
      </c>
      <c r="B713" s="660" t="s">
        <v>1114</v>
      </c>
      <c r="C713" s="660" t="s">
        <v>1284</v>
      </c>
      <c r="D713" s="660" t="s">
        <v>3482</v>
      </c>
      <c r="E713" s="661" t="s">
        <v>106</v>
      </c>
      <c r="F713" s="662" t="s">
        <v>4453</v>
      </c>
      <c r="G713" s="662" t="s">
        <v>4214</v>
      </c>
      <c r="H713" s="663">
        <v>1128.9828</v>
      </c>
    </row>
    <row r="714" spans="1:8" customFormat="1" ht="23.25" thickBot="1" x14ac:dyDescent="0.3">
      <c r="A714" s="659" t="s">
        <v>4511</v>
      </c>
      <c r="B714" s="660" t="s">
        <v>1114</v>
      </c>
      <c r="C714" s="660" t="s">
        <v>1343</v>
      </c>
      <c r="D714" s="660" t="s">
        <v>3572</v>
      </c>
      <c r="E714" s="661" t="s">
        <v>106</v>
      </c>
      <c r="F714" s="662" t="s">
        <v>4512</v>
      </c>
      <c r="G714" s="662" t="s">
        <v>4513</v>
      </c>
      <c r="H714" s="664">
        <v>1187.424</v>
      </c>
    </row>
    <row r="715" spans="1:8" customFormat="1" ht="15.75" thickTop="1" x14ac:dyDescent="0.25">
      <c r="A715" s="665"/>
      <c r="B715" s="666"/>
      <c r="C715" s="666"/>
      <c r="D715" s="666"/>
      <c r="E715" s="666"/>
      <c r="F715" s="666"/>
      <c r="G715" s="666"/>
      <c r="H715" s="667"/>
    </row>
    <row r="716" spans="1:8" customFormat="1" ht="15" x14ac:dyDescent="0.25">
      <c r="A716" s="668" t="s">
        <v>3457</v>
      </c>
      <c r="B716" s="669" t="s">
        <v>3697</v>
      </c>
      <c r="C716" s="669" t="s">
        <v>3460</v>
      </c>
      <c r="D716" s="669" t="s">
        <v>3462</v>
      </c>
      <c r="E716" s="670" t="s">
        <v>69</v>
      </c>
      <c r="F716" s="671" t="s">
        <v>63</v>
      </c>
      <c r="G716" s="671" t="s">
        <v>3720</v>
      </c>
      <c r="H716" s="672" t="s">
        <v>453</v>
      </c>
    </row>
    <row r="717" spans="1:8" s="658" customFormat="1" ht="22.5" x14ac:dyDescent="0.25">
      <c r="A717" s="653" t="s">
        <v>3547</v>
      </c>
      <c r="B717" s="654" t="s">
        <v>3702</v>
      </c>
      <c r="C717" s="654" t="s">
        <v>926</v>
      </c>
      <c r="D717" s="654" t="s">
        <v>3463</v>
      </c>
      <c r="E717" s="655" t="s">
        <v>56</v>
      </c>
      <c r="F717" s="656">
        <v>1</v>
      </c>
      <c r="G717" s="656" t="s">
        <v>4514</v>
      </c>
      <c r="H717" s="657" t="s">
        <v>4514</v>
      </c>
    </row>
    <row r="718" spans="1:8" customFormat="1" ht="22.5" x14ac:dyDescent="0.25">
      <c r="A718" s="659" t="s">
        <v>4515</v>
      </c>
      <c r="B718" s="660" t="s">
        <v>1114</v>
      </c>
      <c r="C718" s="660" t="s">
        <v>1344</v>
      </c>
      <c r="D718" s="660" t="s">
        <v>3498</v>
      </c>
      <c r="E718" s="661" t="s">
        <v>273</v>
      </c>
      <c r="F718" s="662" t="s">
        <v>4516</v>
      </c>
      <c r="G718" s="662" t="s">
        <v>4517</v>
      </c>
      <c r="H718" s="663">
        <v>973.1875</v>
      </c>
    </row>
    <row r="719" spans="1:8" customFormat="1" ht="22.5" x14ac:dyDescent="0.25">
      <c r="A719" s="659" t="s">
        <v>4121</v>
      </c>
      <c r="B719" s="660" t="s">
        <v>1114</v>
      </c>
      <c r="C719" s="660" t="s">
        <v>503</v>
      </c>
      <c r="D719" s="660" t="s">
        <v>3498</v>
      </c>
      <c r="E719" s="661" t="s">
        <v>273</v>
      </c>
      <c r="F719" s="662" t="s">
        <v>4518</v>
      </c>
      <c r="G719" s="662" t="s">
        <v>4122</v>
      </c>
      <c r="H719" s="663">
        <v>673.13220000000001</v>
      </c>
    </row>
    <row r="720" spans="1:8" customFormat="1" ht="22.5" x14ac:dyDescent="0.25">
      <c r="A720" s="659" t="s">
        <v>4299</v>
      </c>
      <c r="B720" s="660" t="s">
        <v>1114</v>
      </c>
      <c r="C720" s="660" t="s">
        <v>506</v>
      </c>
      <c r="D720" s="660" t="s">
        <v>3498</v>
      </c>
      <c r="E720" s="661" t="s">
        <v>273</v>
      </c>
      <c r="F720" s="662" t="s">
        <v>4519</v>
      </c>
      <c r="G720" s="662" t="s">
        <v>4301</v>
      </c>
      <c r="H720" s="663">
        <v>183.9162</v>
      </c>
    </row>
    <row r="721" spans="1:8" customFormat="1" ht="22.5" x14ac:dyDescent="0.25">
      <c r="A721" s="659" t="s">
        <v>3508</v>
      </c>
      <c r="B721" s="660" t="s">
        <v>3702</v>
      </c>
      <c r="C721" s="660" t="s">
        <v>1345</v>
      </c>
      <c r="D721" s="660" t="s">
        <v>3482</v>
      </c>
      <c r="E721" s="661" t="s">
        <v>106</v>
      </c>
      <c r="F721" s="662" t="s">
        <v>4520</v>
      </c>
      <c r="G721" s="662" t="s">
        <v>4521</v>
      </c>
      <c r="H721" s="663">
        <v>182.84219999999999</v>
      </c>
    </row>
    <row r="722" spans="1:8" customFormat="1" ht="33.75" x14ac:dyDescent="0.25">
      <c r="A722" s="659" t="s">
        <v>4505</v>
      </c>
      <c r="B722" s="660" t="s">
        <v>1114</v>
      </c>
      <c r="C722" s="660" t="s">
        <v>1342</v>
      </c>
      <c r="D722" s="660" t="s">
        <v>3512</v>
      </c>
      <c r="E722" s="661" t="s">
        <v>56</v>
      </c>
      <c r="F722" s="662" t="s">
        <v>3711</v>
      </c>
      <c r="G722" s="662" t="s">
        <v>4506</v>
      </c>
      <c r="H722" s="663">
        <v>398.99</v>
      </c>
    </row>
    <row r="723" spans="1:8" customFormat="1" ht="22.5" x14ac:dyDescent="0.25">
      <c r="A723" s="659" t="s">
        <v>4212</v>
      </c>
      <c r="B723" s="660" t="s">
        <v>1114</v>
      </c>
      <c r="C723" s="660" t="s">
        <v>1284</v>
      </c>
      <c r="D723" s="660" t="s">
        <v>3482</v>
      </c>
      <c r="E723" s="661" t="s">
        <v>106</v>
      </c>
      <c r="F723" s="662" t="s">
        <v>4522</v>
      </c>
      <c r="G723" s="662" t="s">
        <v>4214</v>
      </c>
      <c r="H723" s="663">
        <v>259.89780000000002</v>
      </c>
    </row>
    <row r="724" spans="1:8" customFormat="1" ht="22.5" x14ac:dyDescent="0.25">
      <c r="A724" s="659" t="s">
        <v>3510</v>
      </c>
      <c r="B724" s="660" t="s">
        <v>3702</v>
      </c>
      <c r="C724" s="660" t="s">
        <v>1346</v>
      </c>
      <c r="D724" s="660" t="s">
        <v>3512</v>
      </c>
      <c r="E724" s="661" t="s">
        <v>99</v>
      </c>
      <c r="F724" s="662" t="s">
        <v>4523</v>
      </c>
      <c r="G724" s="662" t="s">
        <v>4524</v>
      </c>
      <c r="H724" s="663">
        <v>3100.0749999999998</v>
      </c>
    </row>
    <row r="725" spans="1:8" customFormat="1" ht="22.5" x14ac:dyDescent="0.25">
      <c r="A725" s="659" t="s">
        <v>4525</v>
      </c>
      <c r="B725" s="660" t="s">
        <v>1114</v>
      </c>
      <c r="C725" s="660" t="s">
        <v>1347</v>
      </c>
      <c r="D725" s="660" t="s">
        <v>4526</v>
      </c>
      <c r="E725" s="661" t="s">
        <v>273</v>
      </c>
      <c r="F725" s="662" t="s">
        <v>4244</v>
      </c>
      <c r="G725" s="662" t="s">
        <v>4527</v>
      </c>
      <c r="H725" s="663">
        <v>506.19790000000006</v>
      </c>
    </row>
    <row r="726" spans="1:8" customFormat="1" ht="22.5" x14ac:dyDescent="0.25">
      <c r="A726" s="659" t="s">
        <v>4507</v>
      </c>
      <c r="B726" s="660" t="s">
        <v>1114</v>
      </c>
      <c r="C726" s="660" t="s">
        <v>4508</v>
      </c>
      <c r="D726" s="660" t="s">
        <v>4344</v>
      </c>
      <c r="E726" s="661" t="s">
        <v>106</v>
      </c>
      <c r="F726" s="662" t="s">
        <v>4528</v>
      </c>
      <c r="G726" s="662" t="s">
        <v>4510</v>
      </c>
      <c r="H726" s="663">
        <v>174.84479999999999</v>
      </c>
    </row>
    <row r="727" spans="1:8" customFormat="1" ht="22.5" x14ac:dyDescent="0.25">
      <c r="A727" s="659" t="s">
        <v>4293</v>
      </c>
      <c r="B727" s="660" t="s">
        <v>1114</v>
      </c>
      <c r="C727" s="660" t="s">
        <v>4294</v>
      </c>
      <c r="D727" s="660" t="s">
        <v>3482</v>
      </c>
      <c r="E727" s="661" t="s">
        <v>273</v>
      </c>
      <c r="F727" s="662" t="s">
        <v>4061</v>
      </c>
      <c r="G727" s="662" t="s">
        <v>4296</v>
      </c>
      <c r="H727" s="663">
        <v>114.25080000000001</v>
      </c>
    </row>
    <row r="728" spans="1:8" customFormat="1" ht="23.25" thickBot="1" x14ac:dyDescent="0.3">
      <c r="A728" s="659" t="s">
        <v>4529</v>
      </c>
      <c r="B728" s="660" t="s">
        <v>1114</v>
      </c>
      <c r="C728" s="660" t="s">
        <v>1348</v>
      </c>
      <c r="D728" s="660" t="s">
        <v>3482</v>
      </c>
      <c r="E728" s="661" t="s">
        <v>106</v>
      </c>
      <c r="F728" s="662" t="s">
        <v>4522</v>
      </c>
      <c r="G728" s="662" t="s">
        <v>4382</v>
      </c>
      <c r="H728" s="664">
        <v>118.81760000000001</v>
      </c>
    </row>
    <row r="729" spans="1:8" customFormat="1" ht="15.75" thickTop="1" x14ac:dyDescent="0.25">
      <c r="A729" s="665"/>
      <c r="B729" s="666"/>
      <c r="C729" s="666"/>
      <c r="D729" s="666"/>
      <c r="E729" s="666"/>
      <c r="F729" s="666"/>
      <c r="G729" s="666"/>
      <c r="H729" s="667"/>
    </row>
    <row r="730" spans="1:8" customFormat="1" ht="15" x14ac:dyDescent="0.25">
      <c r="A730" s="668" t="s">
        <v>3457</v>
      </c>
      <c r="B730" s="669" t="s">
        <v>3697</v>
      </c>
      <c r="C730" s="669" t="s">
        <v>3460</v>
      </c>
      <c r="D730" s="669" t="s">
        <v>3462</v>
      </c>
      <c r="E730" s="670" t="s">
        <v>69</v>
      </c>
      <c r="F730" s="671" t="s">
        <v>63</v>
      </c>
      <c r="G730" s="671" t="s">
        <v>3720</v>
      </c>
      <c r="H730" s="672" t="s">
        <v>453</v>
      </c>
    </row>
    <row r="731" spans="1:8" s="658" customFormat="1" ht="22.5" x14ac:dyDescent="0.25">
      <c r="A731" s="653" t="s">
        <v>3546</v>
      </c>
      <c r="B731" s="654" t="s">
        <v>3702</v>
      </c>
      <c r="C731" s="654" t="s">
        <v>2879</v>
      </c>
      <c r="D731" s="654" t="s">
        <v>3463</v>
      </c>
      <c r="E731" s="655" t="s">
        <v>56</v>
      </c>
      <c r="F731" s="656">
        <v>1</v>
      </c>
      <c r="G731" s="656" t="s">
        <v>4530</v>
      </c>
      <c r="H731" s="657" t="s">
        <v>4530</v>
      </c>
    </row>
    <row r="732" spans="1:8" customFormat="1" ht="22.5" x14ac:dyDescent="0.25">
      <c r="A732" s="659" t="s">
        <v>4511</v>
      </c>
      <c r="B732" s="660" t="s">
        <v>1114</v>
      </c>
      <c r="C732" s="660" t="s">
        <v>1343</v>
      </c>
      <c r="D732" s="660" t="s">
        <v>3572</v>
      </c>
      <c r="E732" s="661" t="s">
        <v>106</v>
      </c>
      <c r="F732" s="662" t="s">
        <v>4531</v>
      </c>
      <c r="G732" s="662" t="s">
        <v>4513</v>
      </c>
      <c r="H732" s="663">
        <v>1778.3999999999999</v>
      </c>
    </row>
    <row r="733" spans="1:8" customFormat="1" ht="22.5" x14ac:dyDescent="0.25">
      <c r="A733" s="659" t="s">
        <v>4121</v>
      </c>
      <c r="B733" s="660" t="s">
        <v>1114</v>
      </c>
      <c r="C733" s="660" t="s">
        <v>503</v>
      </c>
      <c r="D733" s="660" t="s">
        <v>3498</v>
      </c>
      <c r="E733" s="661" t="s">
        <v>273</v>
      </c>
      <c r="F733" s="662" t="s">
        <v>4532</v>
      </c>
      <c r="G733" s="662" t="s">
        <v>4122</v>
      </c>
      <c r="H733" s="663">
        <v>1336.9382000000001</v>
      </c>
    </row>
    <row r="734" spans="1:8" customFormat="1" ht="22.5" x14ac:dyDescent="0.25">
      <c r="A734" s="659" t="s">
        <v>4533</v>
      </c>
      <c r="B734" s="660" t="s">
        <v>1114</v>
      </c>
      <c r="C734" s="660" t="s">
        <v>1556</v>
      </c>
      <c r="D734" s="660" t="s">
        <v>3463</v>
      </c>
      <c r="E734" s="661" t="s">
        <v>56</v>
      </c>
      <c r="F734" s="662" t="s">
        <v>3711</v>
      </c>
      <c r="G734" s="662" t="s">
        <v>4329</v>
      </c>
      <c r="H734" s="663">
        <v>19.82</v>
      </c>
    </row>
    <row r="735" spans="1:8" customFormat="1" ht="23.25" thickBot="1" x14ac:dyDescent="0.3">
      <c r="A735" s="659" t="s">
        <v>4212</v>
      </c>
      <c r="B735" s="660" t="s">
        <v>1114</v>
      </c>
      <c r="C735" s="660" t="s">
        <v>1284</v>
      </c>
      <c r="D735" s="660" t="s">
        <v>3482</v>
      </c>
      <c r="E735" s="661" t="s">
        <v>106</v>
      </c>
      <c r="F735" s="662" t="s">
        <v>4520</v>
      </c>
      <c r="G735" s="662" t="s">
        <v>4214</v>
      </c>
      <c r="H735" s="664">
        <v>779.6934</v>
      </c>
    </row>
    <row r="736" spans="1:8" customFormat="1" ht="15.75" thickTop="1" x14ac:dyDescent="0.25">
      <c r="A736" s="665"/>
      <c r="B736" s="666"/>
      <c r="C736" s="666"/>
      <c r="D736" s="666"/>
      <c r="E736" s="666"/>
      <c r="F736" s="666"/>
      <c r="G736" s="666"/>
      <c r="H736" s="667"/>
    </row>
    <row r="737" spans="1:8" customFormat="1" ht="15" x14ac:dyDescent="0.25">
      <c r="A737" s="668" t="s">
        <v>3457</v>
      </c>
      <c r="B737" s="669" t="s">
        <v>3697</v>
      </c>
      <c r="C737" s="669" t="s">
        <v>3460</v>
      </c>
      <c r="D737" s="669" t="s">
        <v>3462</v>
      </c>
      <c r="E737" s="670" t="s">
        <v>69</v>
      </c>
      <c r="F737" s="671" t="s">
        <v>63</v>
      </c>
      <c r="G737" s="671" t="s">
        <v>3720</v>
      </c>
      <c r="H737" s="672" t="s">
        <v>453</v>
      </c>
    </row>
    <row r="738" spans="1:8" s="658" customFormat="1" ht="22.5" x14ac:dyDescent="0.25">
      <c r="A738" s="653" t="s">
        <v>4534</v>
      </c>
      <c r="B738" s="654" t="s">
        <v>3702</v>
      </c>
      <c r="C738" s="654" t="s">
        <v>3089</v>
      </c>
      <c r="D738" s="654" t="s">
        <v>3463</v>
      </c>
      <c r="E738" s="655" t="s">
        <v>56</v>
      </c>
      <c r="F738" s="656">
        <v>1</v>
      </c>
      <c r="G738" s="656" t="s">
        <v>4535</v>
      </c>
      <c r="H738" s="657" t="s">
        <v>4535</v>
      </c>
    </row>
    <row r="739" spans="1:8" customFormat="1" ht="15" x14ac:dyDescent="0.25">
      <c r="A739" s="659" t="s">
        <v>3732</v>
      </c>
      <c r="B739" s="660" t="s">
        <v>1114</v>
      </c>
      <c r="C739" s="660" t="s">
        <v>1287</v>
      </c>
      <c r="D739" s="660" t="s">
        <v>3502</v>
      </c>
      <c r="E739" s="661" t="s">
        <v>1116</v>
      </c>
      <c r="F739" s="662" t="s">
        <v>3902</v>
      </c>
      <c r="G739" s="662" t="s">
        <v>3734</v>
      </c>
      <c r="H739" s="663">
        <v>8.74</v>
      </c>
    </row>
    <row r="740" spans="1:8" customFormat="1" ht="15" x14ac:dyDescent="0.25">
      <c r="A740" s="659" t="s">
        <v>3737</v>
      </c>
      <c r="B740" s="660" t="s">
        <v>1114</v>
      </c>
      <c r="C740" s="660" t="s">
        <v>1134</v>
      </c>
      <c r="D740" s="660" t="s">
        <v>3502</v>
      </c>
      <c r="E740" s="661" t="s">
        <v>1116</v>
      </c>
      <c r="F740" s="662" t="s">
        <v>3902</v>
      </c>
      <c r="G740" s="662" t="s">
        <v>3739</v>
      </c>
      <c r="H740" s="663">
        <v>6.94</v>
      </c>
    </row>
    <row r="741" spans="1:8" customFormat="1" ht="15.75" thickBot="1" x14ac:dyDescent="0.3">
      <c r="A741" s="673" t="s">
        <v>4536</v>
      </c>
      <c r="B741" s="674" t="s">
        <v>1114</v>
      </c>
      <c r="C741" s="674" t="s">
        <v>4537</v>
      </c>
      <c r="D741" s="674" t="s">
        <v>1175</v>
      </c>
      <c r="E741" s="675" t="s">
        <v>56</v>
      </c>
      <c r="F741" s="676" t="s">
        <v>3711</v>
      </c>
      <c r="G741" s="676" t="s">
        <v>4538</v>
      </c>
      <c r="H741" s="677">
        <v>13</v>
      </c>
    </row>
    <row r="742" spans="1:8" customFormat="1" ht="15.75" thickTop="1" x14ac:dyDescent="0.25">
      <c r="A742" s="665"/>
      <c r="B742" s="666"/>
      <c r="C742" s="666"/>
      <c r="D742" s="666"/>
      <c r="E742" s="666"/>
      <c r="F742" s="666"/>
      <c r="G742" s="666"/>
      <c r="H742" s="667"/>
    </row>
    <row r="743" spans="1:8" customFormat="1" ht="15" x14ac:dyDescent="0.25">
      <c r="A743" s="668" t="s">
        <v>3457</v>
      </c>
      <c r="B743" s="669" t="s">
        <v>3697</v>
      </c>
      <c r="C743" s="669" t="s">
        <v>3460</v>
      </c>
      <c r="D743" s="669" t="s">
        <v>3462</v>
      </c>
      <c r="E743" s="670" t="s">
        <v>69</v>
      </c>
      <c r="F743" s="671" t="s">
        <v>63</v>
      </c>
      <c r="G743" s="671" t="s">
        <v>3720</v>
      </c>
      <c r="H743" s="672" t="s">
        <v>453</v>
      </c>
    </row>
    <row r="744" spans="1:8" s="658" customFormat="1" ht="22.5" x14ac:dyDescent="0.25">
      <c r="A744" s="653" t="s">
        <v>3595</v>
      </c>
      <c r="B744" s="654" t="s">
        <v>3702</v>
      </c>
      <c r="C744" s="654" t="s">
        <v>957</v>
      </c>
      <c r="D744" s="654" t="s">
        <v>3502</v>
      </c>
      <c r="E744" s="655" t="s">
        <v>56</v>
      </c>
      <c r="F744" s="656">
        <v>1</v>
      </c>
      <c r="G744" s="656" t="s">
        <v>4539</v>
      </c>
      <c r="H744" s="657" t="s">
        <v>4539</v>
      </c>
    </row>
    <row r="745" spans="1:8" customFormat="1" ht="33.75" x14ac:dyDescent="0.25">
      <c r="A745" s="659" t="s">
        <v>4105</v>
      </c>
      <c r="B745" s="660" t="s">
        <v>1114</v>
      </c>
      <c r="C745" s="660" t="s">
        <v>1250</v>
      </c>
      <c r="D745" s="660" t="s">
        <v>3572</v>
      </c>
      <c r="E745" s="661" t="s">
        <v>106</v>
      </c>
      <c r="F745" s="662" t="s">
        <v>4540</v>
      </c>
      <c r="G745" s="662" t="s">
        <v>4107</v>
      </c>
      <c r="H745" s="663">
        <v>531.28319999999997</v>
      </c>
    </row>
    <row r="746" spans="1:8" customFormat="1" ht="33.75" x14ac:dyDescent="0.25">
      <c r="A746" s="659" t="s">
        <v>4110</v>
      </c>
      <c r="B746" s="660" t="s">
        <v>1114</v>
      </c>
      <c r="C746" s="660" t="s">
        <v>2738</v>
      </c>
      <c r="D746" s="660" t="s">
        <v>3489</v>
      </c>
      <c r="E746" s="661" t="s">
        <v>106</v>
      </c>
      <c r="F746" s="662" t="s">
        <v>4541</v>
      </c>
      <c r="G746" s="662" t="s">
        <v>4111</v>
      </c>
      <c r="H746" s="663">
        <v>34.406399999999998</v>
      </c>
    </row>
    <row r="747" spans="1:8" customFormat="1" ht="33.75" x14ac:dyDescent="0.25">
      <c r="A747" s="659" t="s">
        <v>4115</v>
      </c>
      <c r="B747" s="660" t="s">
        <v>1114</v>
      </c>
      <c r="C747" s="660" t="s">
        <v>4116</v>
      </c>
      <c r="D747" s="660" t="s">
        <v>3489</v>
      </c>
      <c r="E747" s="661" t="s">
        <v>106</v>
      </c>
      <c r="F747" s="662" t="s">
        <v>4541</v>
      </c>
      <c r="G747" s="662" t="s">
        <v>4117</v>
      </c>
      <c r="H747" s="663">
        <v>305.62559999999996</v>
      </c>
    </row>
    <row r="748" spans="1:8" customFormat="1" ht="22.5" x14ac:dyDescent="0.25">
      <c r="A748" s="659" t="s">
        <v>4212</v>
      </c>
      <c r="B748" s="660" t="s">
        <v>1114</v>
      </c>
      <c r="C748" s="660" t="s">
        <v>1284</v>
      </c>
      <c r="D748" s="660" t="s">
        <v>3482</v>
      </c>
      <c r="E748" s="661" t="s">
        <v>106</v>
      </c>
      <c r="F748" s="662" t="s">
        <v>4542</v>
      </c>
      <c r="G748" s="662" t="s">
        <v>4214</v>
      </c>
      <c r="H748" s="663">
        <v>156.43529999999998</v>
      </c>
    </row>
    <row r="749" spans="1:8" customFormat="1" ht="22.5" x14ac:dyDescent="0.25">
      <c r="A749" s="659" t="s">
        <v>4543</v>
      </c>
      <c r="B749" s="660" t="s">
        <v>1114</v>
      </c>
      <c r="C749" s="660" t="s">
        <v>4544</v>
      </c>
      <c r="D749" s="660" t="s">
        <v>3482</v>
      </c>
      <c r="E749" s="661" t="s">
        <v>273</v>
      </c>
      <c r="F749" s="662" t="s">
        <v>3809</v>
      </c>
      <c r="G749" s="662" t="s">
        <v>4545</v>
      </c>
      <c r="H749" s="663">
        <v>45.470799999999997</v>
      </c>
    </row>
    <row r="750" spans="1:8" customFormat="1" ht="33.75" x14ac:dyDescent="0.25">
      <c r="A750" s="659" t="s">
        <v>4219</v>
      </c>
      <c r="B750" s="660" t="s">
        <v>1114</v>
      </c>
      <c r="C750" s="660" t="s">
        <v>784</v>
      </c>
      <c r="D750" s="660" t="s">
        <v>3500</v>
      </c>
      <c r="E750" s="661" t="s">
        <v>106</v>
      </c>
      <c r="F750" s="662" t="s">
        <v>3922</v>
      </c>
      <c r="G750" s="662" t="s">
        <v>4221</v>
      </c>
      <c r="H750" s="663">
        <v>2590.7952</v>
      </c>
    </row>
    <row r="751" spans="1:8" customFormat="1" ht="22.5" x14ac:dyDescent="0.25">
      <c r="A751" s="659" t="s">
        <v>4546</v>
      </c>
      <c r="B751" s="660" t="s">
        <v>1114</v>
      </c>
      <c r="C751" s="660" t="s">
        <v>1349</v>
      </c>
      <c r="D751" s="660" t="s">
        <v>3562</v>
      </c>
      <c r="E751" s="661" t="s">
        <v>99</v>
      </c>
      <c r="F751" s="662" t="s">
        <v>4547</v>
      </c>
      <c r="G751" s="662" t="s">
        <v>4548</v>
      </c>
      <c r="H751" s="663">
        <v>539.495</v>
      </c>
    </row>
    <row r="752" spans="1:8" customFormat="1" ht="33.75" x14ac:dyDescent="0.25">
      <c r="A752" s="659" t="s">
        <v>4549</v>
      </c>
      <c r="B752" s="660" t="s">
        <v>1114</v>
      </c>
      <c r="C752" s="660" t="s">
        <v>1350</v>
      </c>
      <c r="D752" s="660" t="s">
        <v>3500</v>
      </c>
      <c r="E752" s="661" t="s">
        <v>106</v>
      </c>
      <c r="F752" s="662" t="s">
        <v>3730</v>
      </c>
      <c r="G752" s="662" t="s">
        <v>4550</v>
      </c>
      <c r="H752" s="663">
        <v>1466.88</v>
      </c>
    </row>
    <row r="753" spans="1:8" customFormat="1" ht="15" x14ac:dyDescent="0.25">
      <c r="A753" s="659" t="s">
        <v>4313</v>
      </c>
      <c r="B753" s="660" t="s">
        <v>1114</v>
      </c>
      <c r="C753" s="660" t="s">
        <v>825</v>
      </c>
      <c r="D753" s="660" t="s">
        <v>3495</v>
      </c>
      <c r="E753" s="661" t="s">
        <v>106</v>
      </c>
      <c r="F753" s="662" t="s">
        <v>4541</v>
      </c>
      <c r="G753" s="662" t="s">
        <v>4314</v>
      </c>
      <c r="H753" s="663">
        <v>20.9664</v>
      </c>
    </row>
    <row r="754" spans="1:8" customFormat="1" ht="15" x14ac:dyDescent="0.25">
      <c r="A754" s="659" t="s">
        <v>4551</v>
      </c>
      <c r="B754" s="660" t="s">
        <v>1114</v>
      </c>
      <c r="C754" s="660" t="s">
        <v>1351</v>
      </c>
      <c r="D754" s="660" t="s">
        <v>3495</v>
      </c>
      <c r="E754" s="661" t="s">
        <v>106</v>
      </c>
      <c r="F754" s="662" t="s">
        <v>3893</v>
      </c>
      <c r="G754" s="662" t="s">
        <v>4552</v>
      </c>
      <c r="H754" s="663">
        <v>6.9173999999999998</v>
      </c>
    </row>
    <row r="755" spans="1:8" customFormat="1" ht="22.5" x14ac:dyDescent="0.25">
      <c r="A755" s="659" t="s">
        <v>4315</v>
      </c>
      <c r="B755" s="660" t="s">
        <v>1114</v>
      </c>
      <c r="C755" s="660" t="s">
        <v>780</v>
      </c>
      <c r="D755" s="660" t="s">
        <v>3495</v>
      </c>
      <c r="E755" s="661" t="s">
        <v>106</v>
      </c>
      <c r="F755" s="662" t="s">
        <v>4541</v>
      </c>
      <c r="G755" s="662" t="s">
        <v>4316</v>
      </c>
      <c r="H755" s="663">
        <v>140.17919999999998</v>
      </c>
    </row>
    <row r="756" spans="1:8" customFormat="1" ht="22.5" x14ac:dyDescent="0.25">
      <c r="A756" s="659" t="s">
        <v>4553</v>
      </c>
      <c r="B756" s="660" t="s">
        <v>1114</v>
      </c>
      <c r="C756" s="660" t="s">
        <v>1900</v>
      </c>
      <c r="D756" s="660" t="s">
        <v>3495</v>
      </c>
      <c r="E756" s="661" t="s">
        <v>106</v>
      </c>
      <c r="F756" s="662" t="s">
        <v>3893</v>
      </c>
      <c r="G756" s="662" t="s">
        <v>4554</v>
      </c>
      <c r="H756" s="663">
        <v>44.150399999999998</v>
      </c>
    </row>
    <row r="757" spans="1:8" customFormat="1" ht="15" x14ac:dyDescent="0.25">
      <c r="A757" s="659" t="s">
        <v>4555</v>
      </c>
      <c r="B757" s="660" t="s">
        <v>1114</v>
      </c>
      <c r="C757" s="660" t="s">
        <v>1352</v>
      </c>
      <c r="D757" s="660" t="s">
        <v>3495</v>
      </c>
      <c r="E757" s="661" t="s">
        <v>106</v>
      </c>
      <c r="F757" s="662" t="s">
        <v>4556</v>
      </c>
      <c r="G757" s="662" t="s">
        <v>4557</v>
      </c>
      <c r="H757" s="663">
        <v>538.31959999999992</v>
      </c>
    </row>
    <row r="758" spans="1:8" customFormat="1" ht="22.5" x14ac:dyDescent="0.25">
      <c r="A758" s="659" t="s">
        <v>4558</v>
      </c>
      <c r="B758" s="660" t="s">
        <v>1114</v>
      </c>
      <c r="C758" s="660" t="s">
        <v>962</v>
      </c>
      <c r="D758" s="660" t="s">
        <v>3463</v>
      </c>
      <c r="E758" s="661" t="s">
        <v>56</v>
      </c>
      <c r="F758" s="662" t="s">
        <v>4559</v>
      </c>
      <c r="G758" s="662" t="s">
        <v>4560</v>
      </c>
      <c r="H758" s="663">
        <v>213.6</v>
      </c>
    </row>
    <row r="759" spans="1:8" customFormat="1" ht="22.5" x14ac:dyDescent="0.25">
      <c r="A759" s="659" t="s">
        <v>4561</v>
      </c>
      <c r="B759" s="660" t="s">
        <v>1114</v>
      </c>
      <c r="C759" s="660" t="s">
        <v>2932</v>
      </c>
      <c r="D759" s="660" t="s">
        <v>3599</v>
      </c>
      <c r="E759" s="661" t="s">
        <v>56</v>
      </c>
      <c r="F759" s="662" t="s">
        <v>3711</v>
      </c>
      <c r="G759" s="662" t="s">
        <v>4562</v>
      </c>
      <c r="H759" s="663">
        <v>170.58</v>
      </c>
    </row>
    <row r="760" spans="1:8" customFormat="1" ht="22.5" x14ac:dyDescent="0.25">
      <c r="A760" s="659" t="s">
        <v>3548</v>
      </c>
      <c r="B760" s="660" t="s">
        <v>3702</v>
      </c>
      <c r="C760" s="660" t="s">
        <v>3549</v>
      </c>
      <c r="D760" s="660" t="s">
        <v>3463</v>
      </c>
      <c r="E760" s="661" t="s">
        <v>56</v>
      </c>
      <c r="F760" s="662" t="s">
        <v>3733</v>
      </c>
      <c r="G760" s="662" t="s">
        <v>3751</v>
      </c>
      <c r="H760" s="663">
        <v>502</v>
      </c>
    </row>
    <row r="761" spans="1:8" customFormat="1" ht="22.5" x14ac:dyDescent="0.25">
      <c r="A761" s="659" t="s">
        <v>3596</v>
      </c>
      <c r="B761" s="660" t="s">
        <v>3702</v>
      </c>
      <c r="C761" s="660" t="s">
        <v>3597</v>
      </c>
      <c r="D761" s="660" t="s">
        <v>3599</v>
      </c>
      <c r="E761" s="661" t="s">
        <v>56</v>
      </c>
      <c r="F761" s="662" t="s">
        <v>3711</v>
      </c>
      <c r="G761" s="662" t="s">
        <v>4563</v>
      </c>
      <c r="H761" s="663">
        <v>42.33</v>
      </c>
    </row>
    <row r="762" spans="1:8" customFormat="1" ht="15.75" thickBot="1" x14ac:dyDescent="0.3">
      <c r="A762" s="673" t="s">
        <v>4564</v>
      </c>
      <c r="B762" s="674" t="s">
        <v>3702</v>
      </c>
      <c r="C762" s="674" t="s">
        <v>1353</v>
      </c>
      <c r="D762" s="674" t="s">
        <v>1175</v>
      </c>
      <c r="E762" s="675" t="s">
        <v>56</v>
      </c>
      <c r="F762" s="676" t="s">
        <v>3711</v>
      </c>
      <c r="G762" s="676" t="s">
        <v>4565</v>
      </c>
      <c r="H762" s="677">
        <v>941</v>
      </c>
    </row>
    <row r="763" spans="1:8" customFormat="1" ht="15.75" thickTop="1" x14ac:dyDescent="0.25">
      <c r="A763" s="665"/>
      <c r="B763" s="666"/>
      <c r="C763" s="666"/>
      <c r="D763" s="666"/>
      <c r="E763" s="666"/>
      <c r="F763" s="666"/>
      <c r="G763" s="666"/>
      <c r="H763" s="667"/>
    </row>
    <row r="764" spans="1:8" customFormat="1" ht="15" x14ac:dyDescent="0.25">
      <c r="A764" s="668" t="s">
        <v>3457</v>
      </c>
      <c r="B764" s="669" t="s">
        <v>3697</v>
      </c>
      <c r="C764" s="669" t="s">
        <v>3460</v>
      </c>
      <c r="D764" s="669" t="s">
        <v>3462</v>
      </c>
      <c r="E764" s="670" t="s">
        <v>69</v>
      </c>
      <c r="F764" s="671" t="s">
        <v>63</v>
      </c>
      <c r="G764" s="671" t="s">
        <v>3720</v>
      </c>
      <c r="H764" s="672" t="s">
        <v>453</v>
      </c>
    </row>
    <row r="765" spans="1:8" s="658" customFormat="1" ht="33.75" x14ac:dyDescent="0.25">
      <c r="A765" s="653" t="s">
        <v>3648</v>
      </c>
      <c r="B765" s="654" t="s">
        <v>3702</v>
      </c>
      <c r="C765" s="654" t="s">
        <v>899</v>
      </c>
      <c r="D765" s="654" t="s">
        <v>3516</v>
      </c>
      <c r="E765" s="655" t="s">
        <v>56</v>
      </c>
      <c r="F765" s="656">
        <v>1</v>
      </c>
      <c r="G765" s="656" t="s">
        <v>4566</v>
      </c>
      <c r="H765" s="657" t="s">
        <v>4566</v>
      </c>
    </row>
    <row r="766" spans="1:8" customFormat="1" ht="15" x14ac:dyDescent="0.25">
      <c r="A766" s="659" t="s">
        <v>4567</v>
      </c>
      <c r="B766" s="660" t="s">
        <v>1114</v>
      </c>
      <c r="C766" s="660" t="s">
        <v>1362</v>
      </c>
      <c r="D766" s="660" t="s">
        <v>3502</v>
      </c>
      <c r="E766" s="661" t="s">
        <v>1116</v>
      </c>
      <c r="F766" s="662" t="s">
        <v>3952</v>
      </c>
      <c r="G766" s="662" t="s">
        <v>4568</v>
      </c>
      <c r="H766" s="663">
        <v>3.6</v>
      </c>
    </row>
    <row r="767" spans="1:8" customFormat="1" ht="23.25" thickBot="1" x14ac:dyDescent="0.3">
      <c r="A767" s="673" t="s">
        <v>4569</v>
      </c>
      <c r="B767" s="674" t="s">
        <v>1114</v>
      </c>
      <c r="C767" s="674" t="s">
        <v>899</v>
      </c>
      <c r="D767" s="674" t="s">
        <v>1175</v>
      </c>
      <c r="E767" s="675" t="s">
        <v>56</v>
      </c>
      <c r="F767" s="676" t="s">
        <v>3711</v>
      </c>
      <c r="G767" s="676" t="s">
        <v>4570</v>
      </c>
      <c r="H767" s="677">
        <v>0.94</v>
      </c>
    </row>
    <row r="768" spans="1:8" customFormat="1" ht="15.75" thickTop="1" x14ac:dyDescent="0.25">
      <c r="A768" s="665"/>
      <c r="B768" s="666"/>
      <c r="C768" s="666"/>
      <c r="D768" s="666"/>
      <c r="E768" s="666"/>
      <c r="F768" s="666"/>
      <c r="G768" s="666"/>
      <c r="H768" s="667"/>
    </row>
    <row r="769" spans="1:8" customFormat="1" ht="15" x14ac:dyDescent="0.25">
      <c r="A769" s="668" t="s">
        <v>3457</v>
      </c>
      <c r="B769" s="669" t="s">
        <v>3697</v>
      </c>
      <c r="C769" s="669" t="s">
        <v>3460</v>
      </c>
      <c r="D769" s="669" t="s">
        <v>3462</v>
      </c>
      <c r="E769" s="670" t="s">
        <v>69</v>
      </c>
      <c r="F769" s="671" t="s">
        <v>63</v>
      </c>
      <c r="G769" s="671" t="s">
        <v>3720</v>
      </c>
      <c r="H769" s="672" t="s">
        <v>453</v>
      </c>
    </row>
    <row r="770" spans="1:8" s="658" customFormat="1" ht="33.75" x14ac:dyDescent="0.25">
      <c r="A770" s="653" t="s">
        <v>3608</v>
      </c>
      <c r="B770" s="654" t="s">
        <v>3702</v>
      </c>
      <c r="C770" s="654" t="s">
        <v>1645</v>
      </c>
      <c r="D770" s="654" t="s">
        <v>3516</v>
      </c>
      <c r="E770" s="655" t="s">
        <v>99</v>
      </c>
      <c r="F770" s="656">
        <v>1</v>
      </c>
      <c r="G770" s="656" t="s">
        <v>4571</v>
      </c>
      <c r="H770" s="657" t="s">
        <v>4571</v>
      </c>
    </row>
    <row r="771" spans="1:8" customFormat="1" ht="15" x14ac:dyDescent="0.25">
      <c r="A771" s="659" t="s">
        <v>4172</v>
      </c>
      <c r="B771" s="660" t="s">
        <v>1114</v>
      </c>
      <c r="C771" s="660" t="s">
        <v>1260</v>
      </c>
      <c r="D771" s="660" t="s">
        <v>3502</v>
      </c>
      <c r="E771" s="661" t="s">
        <v>1116</v>
      </c>
      <c r="F771" s="662" t="s">
        <v>4226</v>
      </c>
      <c r="G771" s="662" t="s">
        <v>4173</v>
      </c>
      <c r="H771" s="663">
        <v>2.4752000000000001</v>
      </c>
    </row>
    <row r="772" spans="1:8" customFormat="1" ht="15" x14ac:dyDescent="0.25">
      <c r="A772" s="659" t="s">
        <v>3737</v>
      </c>
      <c r="B772" s="660" t="s">
        <v>1114</v>
      </c>
      <c r="C772" s="660" t="s">
        <v>1134</v>
      </c>
      <c r="D772" s="660" t="s">
        <v>3502</v>
      </c>
      <c r="E772" s="661" t="s">
        <v>1116</v>
      </c>
      <c r="F772" s="662" t="s">
        <v>4226</v>
      </c>
      <c r="G772" s="662" t="s">
        <v>3739</v>
      </c>
      <c r="H772" s="663">
        <v>1.9432000000000003</v>
      </c>
    </row>
    <row r="773" spans="1:8" customFormat="1" ht="15.75" thickBot="1" x14ac:dyDescent="0.3">
      <c r="A773" s="673" t="s">
        <v>4572</v>
      </c>
      <c r="B773" s="674" t="s">
        <v>3702</v>
      </c>
      <c r="C773" s="674" t="s">
        <v>1645</v>
      </c>
      <c r="D773" s="674" t="s">
        <v>1175</v>
      </c>
      <c r="E773" s="675" t="s">
        <v>99</v>
      </c>
      <c r="F773" s="676" t="s">
        <v>4573</v>
      </c>
      <c r="G773" s="676" t="s">
        <v>4574</v>
      </c>
      <c r="H773" s="677">
        <v>4.641</v>
      </c>
    </row>
    <row r="774" spans="1:8" customFormat="1" ht="15.75" thickTop="1" x14ac:dyDescent="0.25">
      <c r="A774" s="665"/>
      <c r="B774" s="666"/>
      <c r="C774" s="666"/>
      <c r="D774" s="666"/>
      <c r="E774" s="666"/>
      <c r="F774" s="666"/>
      <c r="G774" s="666"/>
      <c r="H774" s="667"/>
    </row>
    <row r="775" spans="1:8" customFormat="1" ht="15" x14ac:dyDescent="0.25">
      <c r="A775" s="668" t="s">
        <v>3457</v>
      </c>
      <c r="B775" s="669" t="s">
        <v>3697</v>
      </c>
      <c r="C775" s="669" t="s">
        <v>3460</v>
      </c>
      <c r="D775" s="669" t="s">
        <v>3462</v>
      </c>
      <c r="E775" s="670" t="s">
        <v>69</v>
      </c>
      <c r="F775" s="671" t="s">
        <v>63</v>
      </c>
      <c r="G775" s="671" t="s">
        <v>3720</v>
      </c>
      <c r="H775" s="672" t="s">
        <v>453</v>
      </c>
    </row>
    <row r="776" spans="1:8" s="658" customFormat="1" ht="33.75" x14ac:dyDescent="0.25">
      <c r="A776" s="653" t="s">
        <v>3661</v>
      </c>
      <c r="B776" s="654" t="s">
        <v>3702</v>
      </c>
      <c r="C776" s="654" t="s">
        <v>3198</v>
      </c>
      <c r="D776" s="654" t="s">
        <v>3516</v>
      </c>
      <c r="E776" s="655" t="s">
        <v>99</v>
      </c>
      <c r="F776" s="656">
        <v>1</v>
      </c>
      <c r="G776" s="656" t="s">
        <v>4575</v>
      </c>
      <c r="H776" s="657" t="s">
        <v>4575</v>
      </c>
    </row>
    <row r="777" spans="1:8" customFormat="1" ht="15" x14ac:dyDescent="0.25">
      <c r="A777" s="659" t="s">
        <v>4172</v>
      </c>
      <c r="B777" s="660" t="s">
        <v>1114</v>
      </c>
      <c r="C777" s="660" t="s">
        <v>1260</v>
      </c>
      <c r="D777" s="660" t="s">
        <v>3502</v>
      </c>
      <c r="E777" s="661" t="s">
        <v>1116</v>
      </c>
      <c r="F777" s="662" t="s">
        <v>4053</v>
      </c>
      <c r="G777" s="662" t="s">
        <v>4173</v>
      </c>
      <c r="H777" s="663">
        <v>2.8288000000000002</v>
      </c>
    </row>
    <row r="778" spans="1:8" customFormat="1" ht="15" x14ac:dyDescent="0.25">
      <c r="A778" s="659" t="s">
        <v>3737</v>
      </c>
      <c r="B778" s="660" t="s">
        <v>1114</v>
      </c>
      <c r="C778" s="660" t="s">
        <v>1134</v>
      </c>
      <c r="D778" s="660" t="s">
        <v>3502</v>
      </c>
      <c r="E778" s="661" t="s">
        <v>1116</v>
      </c>
      <c r="F778" s="662" t="s">
        <v>4053</v>
      </c>
      <c r="G778" s="662" t="s">
        <v>3739</v>
      </c>
      <c r="H778" s="663">
        <v>2.2208000000000001</v>
      </c>
    </row>
    <row r="779" spans="1:8" customFormat="1" ht="15.75" thickBot="1" x14ac:dyDescent="0.3">
      <c r="A779" s="673" t="s">
        <v>4576</v>
      </c>
      <c r="B779" s="674" t="s">
        <v>3702</v>
      </c>
      <c r="C779" s="674" t="s">
        <v>3198</v>
      </c>
      <c r="D779" s="674" t="s">
        <v>1175</v>
      </c>
      <c r="E779" s="675" t="s">
        <v>99</v>
      </c>
      <c r="F779" s="676" t="s">
        <v>4573</v>
      </c>
      <c r="G779" s="676" t="s">
        <v>4577</v>
      </c>
      <c r="H779" s="677">
        <v>6.9870000000000001</v>
      </c>
    </row>
    <row r="780" spans="1:8" customFormat="1" ht="15.75" thickTop="1" x14ac:dyDescent="0.25">
      <c r="A780" s="665"/>
      <c r="B780" s="666"/>
      <c r="C780" s="666"/>
      <c r="D780" s="666"/>
      <c r="E780" s="666"/>
      <c r="F780" s="666"/>
      <c r="G780" s="666"/>
      <c r="H780" s="667"/>
    </row>
    <row r="781" spans="1:8" customFormat="1" ht="15" x14ac:dyDescent="0.25">
      <c r="A781" s="668" t="s">
        <v>3457</v>
      </c>
      <c r="B781" s="669" t="s">
        <v>3697</v>
      </c>
      <c r="C781" s="669" t="s">
        <v>3460</v>
      </c>
      <c r="D781" s="669" t="s">
        <v>3462</v>
      </c>
      <c r="E781" s="670" t="s">
        <v>69</v>
      </c>
      <c r="F781" s="671" t="s">
        <v>63</v>
      </c>
      <c r="G781" s="671" t="s">
        <v>3720</v>
      </c>
      <c r="H781" s="672" t="s">
        <v>453</v>
      </c>
    </row>
    <row r="782" spans="1:8" s="658" customFormat="1" ht="33.75" x14ac:dyDescent="0.25">
      <c r="A782" s="653" t="s">
        <v>3664</v>
      </c>
      <c r="B782" s="654" t="s">
        <v>3702</v>
      </c>
      <c r="C782" s="654" t="s">
        <v>3202</v>
      </c>
      <c r="D782" s="654" t="s">
        <v>3516</v>
      </c>
      <c r="E782" s="655" t="s">
        <v>99</v>
      </c>
      <c r="F782" s="656">
        <v>1</v>
      </c>
      <c r="G782" s="656" t="s">
        <v>4578</v>
      </c>
      <c r="H782" s="657" t="s">
        <v>4578</v>
      </c>
    </row>
    <row r="783" spans="1:8" customFormat="1" ht="15" x14ac:dyDescent="0.25">
      <c r="A783" s="659" t="s">
        <v>4172</v>
      </c>
      <c r="B783" s="660" t="s">
        <v>1114</v>
      </c>
      <c r="C783" s="660" t="s">
        <v>1260</v>
      </c>
      <c r="D783" s="660" t="s">
        <v>3502</v>
      </c>
      <c r="E783" s="661" t="s">
        <v>1116</v>
      </c>
      <c r="F783" s="662" t="s">
        <v>4579</v>
      </c>
      <c r="G783" s="662" t="s">
        <v>4173</v>
      </c>
      <c r="H783" s="663">
        <v>3.0056000000000003</v>
      </c>
    </row>
    <row r="784" spans="1:8" customFormat="1" ht="15" x14ac:dyDescent="0.25">
      <c r="A784" s="659" t="s">
        <v>3737</v>
      </c>
      <c r="B784" s="660" t="s">
        <v>1114</v>
      </c>
      <c r="C784" s="660" t="s">
        <v>1134</v>
      </c>
      <c r="D784" s="660" t="s">
        <v>3502</v>
      </c>
      <c r="E784" s="661" t="s">
        <v>1116</v>
      </c>
      <c r="F784" s="662" t="s">
        <v>4579</v>
      </c>
      <c r="G784" s="662" t="s">
        <v>3739</v>
      </c>
      <c r="H784" s="663">
        <v>2.3596000000000004</v>
      </c>
    </row>
    <row r="785" spans="1:8" customFormat="1" ht="15.75" thickBot="1" x14ac:dyDescent="0.3">
      <c r="A785" s="673" t="s">
        <v>4580</v>
      </c>
      <c r="B785" s="674" t="s">
        <v>3702</v>
      </c>
      <c r="C785" s="674" t="s">
        <v>3202</v>
      </c>
      <c r="D785" s="674" t="s">
        <v>1175</v>
      </c>
      <c r="E785" s="675" t="s">
        <v>99</v>
      </c>
      <c r="F785" s="676" t="s">
        <v>4573</v>
      </c>
      <c r="G785" s="676" t="s">
        <v>4581</v>
      </c>
      <c r="H785" s="677">
        <v>10.557</v>
      </c>
    </row>
    <row r="786" spans="1:8" customFormat="1" ht="15.75" thickTop="1" x14ac:dyDescent="0.25">
      <c r="A786" s="665"/>
      <c r="B786" s="666"/>
      <c r="C786" s="666"/>
      <c r="D786" s="666"/>
      <c r="E786" s="666"/>
      <c r="F786" s="666"/>
      <c r="G786" s="666"/>
      <c r="H786" s="667"/>
    </row>
    <row r="787" spans="1:8" customFormat="1" ht="15" x14ac:dyDescent="0.25">
      <c r="A787" s="668" t="s">
        <v>3457</v>
      </c>
      <c r="B787" s="669" t="s">
        <v>3697</v>
      </c>
      <c r="C787" s="669" t="s">
        <v>3460</v>
      </c>
      <c r="D787" s="669" t="s">
        <v>3462</v>
      </c>
      <c r="E787" s="670" t="s">
        <v>69</v>
      </c>
      <c r="F787" s="671" t="s">
        <v>63</v>
      </c>
      <c r="G787" s="671" t="s">
        <v>3720</v>
      </c>
      <c r="H787" s="672" t="s">
        <v>453</v>
      </c>
    </row>
    <row r="788" spans="1:8" s="658" customFormat="1" ht="33.75" x14ac:dyDescent="0.25">
      <c r="A788" s="653" t="s">
        <v>3667</v>
      </c>
      <c r="B788" s="654" t="s">
        <v>3702</v>
      </c>
      <c r="C788" s="654" t="s">
        <v>3454</v>
      </c>
      <c r="D788" s="654" t="s">
        <v>3516</v>
      </c>
      <c r="E788" s="655" t="s">
        <v>99</v>
      </c>
      <c r="F788" s="656">
        <v>1</v>
      </c>
      <c r="G788" s="656" t="s">
        <v>4582</v>
      </c>
      <c r="H788" s="657" t="s">
        <v>4582</v>
      </c>
    </row>
    <row r="789" spans="1:8" customFormat="1" ht="15" x14ac:dyDescent="0.25">
      <c r="A789" s="659" t="s">
        <v>4172</v>
      </c>
      <c r="B789" s="660" t="s">
        <v>1114</v>
      </c>
      <c r="C789" s="660" t="s">
        <v>1260</v>
      </c>
      <c r="D789" s="660" t="s">
        <v>3502</v>
      </c>
      <c r="E789" s="661" t="s">
        <v>1116</v>
      </c>
      <c r="F789" s="662" t="s">
        <v>4583</v>
      </c>
      <c r="G789" s="662" t="s">
        <v>4173</v>
      </c>
      <c r="H789" s="663">
        <v>3.7127999999999997</v>
      </c>
    </row>
    <row r="790" spans="1:8" customFormat="1" ht="15" x14ac:dyDescent="0.25">
      <c r="A790" s="659" t="s">
        <v>3737</v>
      </c>
      <c r="B790" s="660" t="s">
        <v>1114</v>
      </c>
      <c r="C790" s="660" t="s">
        <v>1134</v>
      </c>
      <c r="D790" s="660" t="s">
        <v>3502</v>
      </c>
      <c r="E790" s="661" t="s">
        <v>1116</v>
      </c>
      <c r="F790" s="662" t="s">
        <v>4583</v>
      </c>
      <c r="G790" s="662" t="s">
        <v>3739</v>
      </c>
      <c r="H790" s="663">
        <v>2.9148000000000001</v>
      </c>
    </row>
    <row r="791" spans="1:8" customFormat="1" ht="15.75" thickBot="1" x14ac:dyDescent="0.3">
      <c r="A791" s="673" t="s">
        <v>4584</v>
      </c>
      <c r="B791" s="674" t="s">
        <v>3702</v>
      </c>
      <c r="C791" s="674" t="s">
        <v>3454</v>
      </c>
      <c r="D791" s="674" t="s">
        <v>1175</v>
      </c>
      <c r="E791" s="675" t="s">
        <v>99</v>
      </c>
      <c r="F791" s="676" t="s">
        <v>4573</v>
      </c>
      <c r="G791" s="676" t="s">
        <v>4585</v>
      </c>
      <c r="H791" s="677">
        <v>14.6472</v>
      </c>
    </row>
    <row r="792" spans="1:8" customFormat="1" ht="15.75" thickTop="1" x14ac:dyDescent="0.25">
      <c r="A792" s="665"/>
      <c r="B792" s="666"/>
      <c r="C792" s="666"/>
      <c r="D792" s="666"/>
      <c r="E792" s="666"/>
      <c r="F792" s="666"/>
      <c r="G792" s="666"/>
      <c r="H792" s="667"/>
    </row>
    <row r="793" spans="1:8" customFormat="1" ht="15" x14ac:dyDescent="0.25">
      <c r="A793" s="668" t="s">
        <v>3457</v>
      </c>
      <c r="B793" s="669" t="s">
        <v>3697</v>
      </c>
      <c r="C793" s="669" t="s">
        <v>3460</v>
      </c>
      <c r="D793" s="669" t="s">
        <v>3462</v>
      </c>
      <c r="E793" s="670" t="s">
        <v>69</v>
      </c>
      <c r="F793" s="671" t="s">
        <v>63</v>
      </c>
      <c r="G793" s="671" t="s">
        <v>3720</v>
      </c>
      <c r="H793" s="672" t="s">
        <v>453</v>
      </c>
    </row>
    <row r="794" spans="1:8" s="658" customFormat="1" ht="33.75" x14ac:dyDescent="0.25">
      <c r="A794" s="653" t="s">
        <v>3670</v>
      </c>
      <c r="B794" s="654" t="s">
        <v>3702</v>
      </c>
      <c r="C794" s="654" t="s">
        <v>3455</v>
      </c>
      <c r="D794" s="654" t="s">
        <v>3516</v>
      </c>
      <c r="E794" s="655" t="s">
        <v>99</v>
      </c>
      <c r="F794" s="656">
        <v>1</v>
      </c>
      <c r="G794" s="656" t="s">
        <v>4586</v>
      </c>
      <c r="H794" s="657" t="s">
        <v>4586</v>
      </c>
    </row>
    <row r="795" spans="1:8" customFormat="1" ht="15" x14ac:dyDescent="0.25">
      <c r="A795" s="659" t="s">
        <v>4172</v>
      </c>
      <c r="B795" s="660" t="s">
        <v>1114</v>
      </c>
      <c r="C795" s="660" t="s">
        <v>1260</v>
      </c>
      <c r="D795" s="660" t="s">
        <v>3502</v>
      </c>
      <c r="E795" s="661" t="s">
        <v>1116</v>
      </c>
      <c r="F795" s="662" t="s">
        <v>4425</v>
      </c>
      <c r="G795" s="662" t="s">
        <v>4173</v>
      </c>
      <c r="H795" s="663">
        <v>6.0112000000000005</v>
      </c>
    </row>
    <row r="796" spans="1:8" customFormat="1" ht="15" x14ac:dyDescent="0.25">
      <c r="A796" s="659" t="s">
        <v>3737</v>
      </c>
      <c r="B796" s="660" t="s">
        <v>1114</v>
      </c>
      <c r="C796" s="660" t="s">
        <v>1134</v>
      </c>
      <c r="D796" s="660" t="s">
        <v>3502</v>
      </c>
      <c r="E796" s="661" t="s">
        <v>1116</v>
      </c>
      <c r="F796" s="662" t="s">
        <v>4425</v>
      </c>
      <c r="G796" s="662" t="s">
        <v>3739</v>
      </c>
      <c r="H796" s="663">
        <v>4.7192000000000007</v>
      </c>
    </row>
    <row r="797" spans="1:8" customFormat="1" ht="15.75" thickBot="1" x14ac:dyDescent="0.3">
      <c r="A797" s="673" t="s">
        <v>4587</v>
      </c>
      <c r="B797" s="674" t="s">
        <v>3702</v>
      </c>
      <c r="C797" s="674" t="s">
        <v>3455</v>
      </c>
      <c r="D797" s="674" t="s">
        <v>1175</v>
      </c>
      <c r="E797" s="675" t="s">
        <v>99</v>
      </c>
      <c r="F797" s="676" t="s">
        <v>4573</v>
      </c>
      <c r="G797" s="676" t="s">
        <v>4588</v>
      </c>
      <c r="H797" s="677">
        <v>28.2744</v>
      </c>
    </row>
    <row r="798" spans="1:8" customFormat="1" ht="15.75" thickTop="1" x14ac:dyDescent="0.25">
      <c r="A798" s="665"/>
      <c r="B798" s="666"/>
      <c r="C798" s="666"/>
      <c r="D798" s="666"/>
      <c r="E798" s="666"/>
      <c r="F798" s="666"/>
      <c r="G798" s="666"/>
      <c r="H798" s="667"/>
    </row>
    <row r="799" spans="1:8" customFormat="1" ht="15" x14ac:dyDescent="0.25">
      <c r="A799" s="668" t="s">
        <v>3457</v>
      </c>
      <c r="B799" s="669" t="s">
        <v>3697</v>
      </c>
      <c r="C799" s="669" t="s">
        <v>3460</v>
      </c>
      <c r="D799" s="669" t="s">
        <v>3462</v>
      </c>
      <c r="E799" s="670" t="s">
        <v>69</v>
      </c>
      <c r="F799" s="671" t="s">
        <v>63</v>
      </c>
      <c r="G799" s="671" t="s">
        <v>3720</v>
      </c>
      <c r="H799" s="672" t="s">
        <v>453</v>
      </c>
    </row>
    <row r="800" spans="1:8" s="658" customFormat="1" ht="33.75" x14ac:dyDescent="0.25">
      <c r="A800" s="653" t="s">
        <v>4589</v>
      </c>
      <c r="B800" s="654" t="s">
        <v>3702</v>
      </c>
      <c r="C800" s="654" t="s">
        <v>3453</v>
      </c>
      <c r="D800" s="654" t="s">
        <v>3516</v>
      </c>
      <c r="E800" s="655" t="s">
        <v>99</v>
      </c>
      <c r="F800" s="656">
        <v>1</v>
      </c>
      <c r="G800" s="656" t="s">
        <v>4590</v>
      </c>
      <c r="H800" s="657" t="s">
        <v>4590</v>
      </c>
    </row>
    <row r="801" spans="1:8" customFormat="1" ht="15" x14ac:dyDescent="0.25">
      <c r="A801" s="659" t="s">
        <v>4172</v>
      </c>
      <c r="B801" s="660" t="s">
        <v>1114</v>
      </c>
      <c r="C801" s="660" t="s">
        <v>1260</v>
      </c>
      <c r="D801" s="660" t="s">
        <v>3502</v>
      </c>
      <c r="E801" s="661" t="s">
        <v>1116</v>
      </c>
      <c r="F801" s="662" t="s">
        <v>4467</v>
      </c>
      <c r="G801" s="662" t="s">
        <v>4173</v>
      </c>
      <c r="H801" s="663">
        <v>8.1327999999999996</v>
      </c>
    </row>
    <row r="802" spans="1:8" customFormat="1" ht="15" x14ac:dyDescent="0.25">
      <c r="A802" s="659" t="s">
        <v>3737</v>
      </c>
      <c r="B802" s="660" t="s">
        <v>1114</v>
      </c>
      <c r="C802" s="660" t="s">
        <v>1134</v>
      </c>
      <c r="D802" s="660" t="s">
        <v>3502</v>
      </c>
      <c r="E802" s="661" t="s">
        <v>1116</v>
      </c>
      <c r="F802" s="662" t="s">
        <v>4467</v>
      </c>
      <c r="G802" s="662" t="s">
        <v>3739</v>
      </c>
      <c r="H802" s="663">
        <v>6.3848000000000003</v>
      </c>
    </row>
    <row r="803" spans="1:8" customFormat="1" ht="15.75" thickBot="1" x14ac:dyDescent="0.3">
      <c r="A803" s="673" t="s">
        <v>4591</v>
      </c>
      <c r="B803" s="674" t="s">
        <v>3702</v>
      </c>
      <c r="C803" s="674" t="s">
        <v>3453</v>
      </c>
      <c r="D803" s="674" t="s">
        <v>1175</v>
      </c>
      <c r="E803" s="675" t="s">
        <v>75</v>
      </c>
      <c r="F803" s="676" t="s">
        <v>4573</v>
      </c>
      <c r="G803" s="676" t="s">
        <v>4592</v>
      </c>
      <c r="H803" s="677">
        <v>51.581400000000002</v>
      </c>
    </row>
    <row r="804" spans="1:8" customFormat="1" ht="15.75" thickTop="1" x14ac:dyDescent="0.25">
      <c r="A804" s="665"/>
      <c r="B804" s="666"/>
      <c r="C804" s="666"/>
      <c r="D804" s="666"/>
      <c r="E804" s="666"/>
      <c r="F804" s="666"/>
      <c r="G804" s="666"/>
      <c r="H804" s="667"/>
    </row>
    <row r="805" spans="1:8" customFormat="1" ht="15" x14ac:dyDescent="0.25">
      <c r="A805" s="668" t="s">
        <v>3457</v>
      </c>
      <c r="B805" s="669" t="s">
        <v>3697</v>
      </c>
      <c r="C805" s="669" t="s">
        <v>3460</v>
      </c>
      <c r="D805" s="669" t="s">
        <v>3462</v>
      </c>
      <c r="E805" s="670" t="s">
        <v>69</v>
      </c>
      <c r="F805" s="671" t="s">
        <v>63</v>
      </c>
      <c r="G805" s="671" t="s">
        <v>3720</v>
      </c>
      <c r="H805" s="672" t="s">
        <v>453</v>
      </c>
    </row>
    <row r="806" spans="1:8" s="658" customFormat="1" ht="33.75" x14ac:dyDescent="0.25">
      <c r="A806" s="653" t="s">
        <v>3517</v>
      </c>
      <c r="B806" s="654" t="s">
        <v>3702</v>
      </c>
      <c r="C806" s="654" t="s">
        <v>1358</v>
      </c>
      <c r="D806" s="654" t="s">
        <v>3516</v>
      </c>
      <c r="E806" s="655" t="s">
        <v>56</v>
      </c>
      <c r="F806" s="656">
        <v>1</v>
      </c>
      <c r="G806" s="656" t="s">
        <v>4593</v>
      </c>
      <c r="H806" s="657" t="s">
        <v>4593</v>
      </c>
    </row>
    <row r="807" spans="1:8" customFormat="1" ht="15" x14ac:dyDescent="0.25">
      <c r="A807" s="659" t="s">
        <v>4172</v>
      </c>
      <c r="B807" s="660" t="s">
        <v>1114</v>
      </c>
      <c r="C807" s="660" t="s">
        <v>1260</v>
      </c>
      <c r="D807" s="660" t="s">
        <v>3502</v>
      </c>
      <c r="E807" s="661" t="s">
        <v>1116</v>
      </c>
      <c r="F807" s="662" t="s">
        <v>3811</v>
      </c>
      <c r="G807" s="662" t="s">
        <v>4173</v>
      </c>
      <c r="H807" s="663">
        <v>15.027999999999999</v>
      </c>
    </row>
    <row r="808" spans="1:8" customFormat="1" ht="15" x14ac:dyDescent="0.25">
      <c r="A808" s="659" t="s">
        <v>3737</v>
      </c>
      <c r="B808" s="660" t="s">
        <v>1114</v>
      </c>
      <c r="C808" s="660" t="s">
        <v>1134</v>
      </c>
      <c r="D808" s="660" t="s">
        <v>3502</v>
      </c>
      <c r="E808" s="661" t="s">
        <v>1116</v>
      </c>
      <c r="F808" s="662" t="s">
        <v>3811</v>
      </c>
      <c r="G808" s="662" t="s">
        <v>3739</v>
      </c>
      <c r="H808" s="663">
        <v>11.798</v>
      </c>
    </row>
    <row r="809" spans="1:8" customFormat="1" ht="22.5" x14ac:dyDescent="0.25">
      <c r="A809" s="673" t="s">
        <v>4594</v>
      </c>
      <c r="B809" s="674" t="s">
        <v>1114</v>
      </c>
      <c r="C809" s="674" t="s">
        <v>4595</v>
      </c>
      <c r="D809" s="674" t="s">
        <v>1175</v>
      </c>
      <c r="E809" s="675" t="s">
        <v>56</v>
      </c>
      <c r="F809" s="676" t="s">
        <v>3711</v>
      </c>
      <c r="G809" s="676" t="s">
        <v>4596</v>
      </c>
      <c r="H809" s="678">
        <v>12.15</v>
      </c>
    </row>
    <row r="810" spans="1:8" customFormat="1" ht="15.75" thickBot="1" x14ac:dyDescent="0.3">
      <c r="A810" s="673" t="s">
        <v>4597</v>
      </c>
      <c r="B810" s="674" t="s">
        <v>1114</v>
      </c>
      <c r="C810" s="674" t="s">
        <v>4598</v>
      </c>
      <c r="D810" s="674" t="s">
        <v>1175</v>
      </c>
      <c r="E810" s="675" t="s">
        <v>56</v>
      </c>
      <c r="F810" s="676" t="s">
        <v>3826</v>
      </c>
      <c r="G810" s="676" t="s">
        <v>4599</v>
      </c>
      <c r="H810" s="677">
        <v>82.32</v>
      </c>
    </row>
    <row r="811" spans="1:8" customFormat="1" ht="15.75" thickTop="1" x14ac:dyDescent="0.25">
      <c r="A811" s="665"/>
      <c r="B811" s="666"/>
      <c r="C811" s="666"/>
      <c r="D811" s="666"/>
      <c r="E811" s="666"/>
      <c r="F811" s="666"/>
      <c r="G811" s="666"/>
      <c r="H811" s="667"/>
    </row>
    <row r="812" spans="1:8" customFormat="1" ht="15" x14ac:dyDescent="0.25">
      <c r="A812" s="668" t="s">
        <v>3457</v>
      </c>
      <c r="B812" s="669" t="s">
        <v>3697</v>
      </c>
      <c r="C812" s="669" t="s">
        <v>3460</v>
      </c>
      <c r="D812" s="669" t="s">
        <v>3462</v>
      </c>
      <c r="E812" s="670" t="s">
        <v>69</v>
      </c>
      <c r="F812" s="671" t="s">
        <v>63</v>
      </c>
      <c r="G812" s="671" t="s">
        <v>3720</v>
      </c>
      <c r="H812" s="672" t="s">
        <v>453</v>
      </c>
    </row>
    <row r="813" spans="1:8" s="658" customFormat="1" ht="22.5" x14ac:dyDescent="0.25">
      <c r="A813" s="653" t="s">
        <v>3513</v>
      </c>
      <c r="B813" s="654" t="s">
        <v>3702</v>
      </c>
      <c r="C813" s="654" t="s">
        <v>912</v>
      </c>
      <c r="D813" s="654" t="s">
        <v>3502</v>
      </c>
      <c r="E813" s="655" t="s">
        <v>56</v>
      </c>
      <c r="F813" s="656">
        <v>1</v>
      </c>
      <c r="G813" s="656" t="s">
        <v>4600</v>
      </c>
      <c r="H813" s="657" t="s">
        <v>4600</v>
      </c>
    </row>
    <row r="814" spans="1:8" customFormat="1" ht="15" x14ac:dyDescent="0.25">
      <c r="A814" s="659" t="s">
        <v>4172</v>
      </c>
      <c r="B814" s="660" t="s">
        <v>1114</v>
      </c>
      <c r="C814" s="660" t="s">
        <v>1260</v>
      </c>
      <c r="D814" s="660" t="s">
        <v>3502</v>
      </c>
      <c r="E814" s="661" t="s">
        <v>1116</v>
      </c>
      <c r="F814" s="662" t="s">
        <v>4601</v>
      </c>
      <c r="G814" s="662" t="s">
        <v>4173</v>
      </c>
      <c r="H814" s="663">
        <v>20.155199999999997</v>
      </c>
    </row>
    <row r="815" spans="1:8" customFormat="1" ht="15" x14ac:dyDescent="0.25">
      <c r="A815" s="659" t="s">
        <v>3737</v>
      </c>
      <c r="B815" s="660" t="s">
        <v>1114</v>
      </c>
      <c r="C815" s="660" t="s">
        <v>1134</v>
      </c>
      <c r="D815" s="660" t="s">
        <v>3502</v>
      </c>
      <c r="E815" s="661" t="s">
        <v>1116</v>
      </c>
      <c r="F815" s="662" t="s">
        <v>3937</v>
      </c>
      <c r="G815" s="662" t="s">
        <v>3739</v>
      </c>
      <c r="H815" s="663">
        <v>9.0220000000000002</v>
      </c>
    </row>
    <row r="816" spans="1:8" customFormat="1" ht="15.75" thickBot="1" x14ac:dyDescent="0.3">
      <c r="A816" s="673" t="s">
        <v>4602</v>
      </c>
      <c r="B816" s="674" t="s">
        <v>3702</v>
      </c>
      <c r="C816" s="674" t="s">
        <v>1361</v>
      </c>
      <c r="D816" s="674" t="s">
        <v>1175</v>
      </c>
      <c r="E816" s="675" t="s">
        <v>56</v>
      </c>
      <c r="F816" s="676" t="s">
        <v>3711</v>
      </c>
      <c r="G816" s="676" t="s">
        <v>4603</v>
      </c>
      <c r="H816" s="677">
        <v>158.36000000000001</v>
      </c>
    </row>
    <row r="817" spans="1:8" customFormat="1" ht="15.75" thickTop="1" x14ac:dyDescent="0.25">
      <c r="A817" s="665"/>
      <c r="B817" s="666"/>
      <c r="C817" s="666"/>
      <c r="D817" s="666"/>
      <c r="E817" s="666"/>
      <c r="F817" s="666"/>
      <c r="G817" s="666"/>
      <c r="H817" s="667"/>
    </row>
    <row r="818" spans="1:8" customFormat="1" ht="15" x14ac:dyDescent="0.25">
      <c r="A818" s="668" t="s">
        <v>3457</v>
      </c>
      <c r="B818" s="669" t="s">
        <v>3697</v>
      </c>
      <c r="C818" s="669" t="s">
        <v>3460</v>
      </c>
      <c r="D818" s="669" t="s">
        <v>3462</v>
      </c>
      <c r="E818" s="670" t="s">
        <v>69</v>
      </c>
      <c r="F818" s="671" t="s">
        <v>63</v>
      </c>
      <c r="G818" s="671" t="s">
        <v>3720</v>
      </c>
      <c r="H818" s="672" t="s">
        <v>453</v>
      </c>
    </row>
    <row r="819" spans="1:8" s="658" customFormat="1" ht="33.75" x14ac:dyDescent="0.25">
      <c r="A819" s="653" t="s">
        <v>3523</v>
      </c>
      <c r="B819" s="654" t="s">
        <v>3702</v>
      </c>
      <c r="C819" s="654" t="s">
        <v>2911</v>
      </c>
      <c r="D819" s="654" t="s">
        <v>3516</v>
      </c>
      <c r="E819" s="655" t="s">
        <v>56</v>
      </c>
      <c r="F819" s="656">
        <v>1</v>
      </c>
      <c r="G819" s="656" t="s">
        <v>4604</v>
      </c>
      <c r="H819" s="657" t="s">
        <v>4604</v>
      </c>
    </row>
    <row r="820" spans="1:8" customFormat="1" ht="15" x14ac:dyDescent="0.25">
      <c r="A820" s="659" t="s">
        <v>4172</v>
      </c>
      <c r="B820" s="660" t="s">
        <v>1114</v>
      </c>
      <c r="C820" s="660" t="s">
        <v>1260</v>
      </c>
      <c r="D820" s="660" t="s">
        <v>3502</v>
      </c>
      <c r="E820" s="661" t="s">
        <v>1116</v>
      </c>
      <c r="F820" s="662" t="s">
        <v>3730</v>
      </c>
      <c r="G820" s="662" t="s">
        <v>4173</v>
      </c>
      <c r="H820" s="663">
        <v>70.72</v>
      </c>
    </row>
    <row r="821" spans="1:8" customFormat="1" ht="15" x14ac:dyDescent="0.25">
      <c r="A821" s="659" t="s">
        <v>3737</v>
      </c>
      <c r="B821" s="660" t="s">
        <v>1114</v>
      </c>
      <c r="C821" s="660" t="s">
        <v>1134</v>
      </c>
      <c r="D821" s="660" t="s">
        <v>3502</v>
      </c>
      <c r="E821" s="661" t="s">
        <v>1116</v>
      </c>
      <c r="F821" s="662" t="s">
        <v>3730</v>
      </c>
      <c r="G821" s="662" t="s">
        <v>3739</v>
      </c>
      <c r="H821" s="663">
        <v>55.52</v>
      </c>
    </row>
    <row r="822" spans="1:8" customFormat="1" ht="15" x14ac:dyDescent="0.25">
      <c r="A822" s="673" t="s">
        <v>4605</v>
      </c>
      <c r="B822" s="674" t="s">
        <v>3702</v>
      </c>
      <c r="C822" s="674" t="s">
        <v>1364</v>
      </c>
      <c r="D822" s="674" t="s">
        <v>1175</v>
      </c>
      <c r="E822" s="675" t="s">
        <v>56</v>
      </c>
      <c r="F822" s="676" t="s">
        <v>3711</v>
      </c>
      <c r="G822" s="676" t="s">
        <v>4563</v>
      </c>
      <c r="H822" s="678">
        <v>42.33</v>
      </c>
    </row>
    <row r="823" spans="1:8" customFormat="1" ht="15" x14ac:dyDescent="0.25">
      <c r="A823" s="673" t="s">
        <v>4606</v>
      </c>
      <c r="B823" s="674" t="s">
        <v>3702</v>
      </c>
      <c r="C823" s="674" t="s">
        <v>1372</v>
      </c>
      <c r="D823" s="674" t="s">
        <v>1175</v>
      </c>
      <c r="E823" s="675" t="s">
        <v>56</v>
      </c>
      <c r="F823" s="676" t="s">
        <v>3711</v>
      </c>
      <c r="G823" s="676" t="s">
        <v>4563</v>
      </c>
      <c r="H823" s="678">
        <v>42.33</v>
      </c>
    </row>
    <row r="824" spans="1:8" customFormat="1" ht="15" x14ac:dyDescent="0.25">
      <c r="A824" s="673" t="s">
        <v>4607</v>
      </c>
      <c r="B824" s="674" t="s">
        <v>3702</v>
      </c>
      <c r="C824" s="674" t="s">
        <v>1373</v>
      </c>
      <c r="D824" s="674" t="s">
        <v>1175</v>
      </c>
      <c r="E824" s="675" t="s">
        <v>56</v>
      </c>
      <c r="F824" s="676" t="s">
        <v>3711</v>
      </c>
      <c r="G824" s="676" t="s">
        <v>4608</v>
      </c>
      <c r="H824" s="678">
        <v>793.32</v>
      </c>
    </row>
    <row r="825" spans="1:8" customFormat="1" ht="15.75" thickBot="1" x14ac:dyDescent="0.3">
      <c r="A825" s="673" t="s">
        <v>4609</v>
      </c>
      <c r="B825" s="674" t="s">
        <v>3702</v>
      </c>
      <c r="C825" s="674" t="s">
        <v>4610</v>
      </c>
      <c r="D825" s="674" t="s">
        <v>1175</v>
      </c>
      <c r="E825" s="675" t="s">
        <v>92</v>
      </c>
      <c r="F825" s="676" t="s">
        <v>4611</v>
      </c>
      <c r="G825" s="676" t="s">
        <v>4612</v>
      </c>
      <c r="H825" s="677">
        <v>283.85160000000002</v>
      </c>
    </row>
    <row r="826" spans="1:8" customFormat="1" ht="15.75" thickTop="1" x14ac:dyDescent="0.25">
      <c r="A826" s="665"/>
      <c r="B826" s="666"/>
      <c r="C826" s="666"/>
      <c r="D826" s="666"/>
      <c r="E826" s="666"/>
      <c r="F826" s="666"/>
      <c r="G826" s="666"/>
      <c r="H826" s="667"/>
    </row>
    <row r="827" spans="1:8" customFormat="1" ht="15" x14ac:dyDescent="0.25">
      <c r="A827" s="668" t="s">
        <v>3457</v>
      </c>
      <c r="B827" s="669" t="s">
        <v>3697</v>
      </c>
      <c r="C827" s="669" t="s">
        <v>3460</v>
      </c>
      <c r="D827" s="669" t="s">
        <v>3462</v>
      </c>
      <c r="E827" s="670" t="s">
        <v>69</v>
      </c>
      <c r="F827" s="671" t="s">
        <v>63</v>
      </c>
      <c r="G827" s="671" t="s">
        <v>3720</v>
      </c>
      <c r="H827" s="672" t="s">
        <v>453</v>
      </c>
    </row>
    <row r="828" spans="1:8" s="658" customFormat="1" ht="33.75" x14ac:dyDescent="0.25">
      <c r="A828" s="653" t="s">
        <v>4613</v>
      </c>
      <c r="B828" s="654" t="s">
        <v>3702</v>
      </c>
      <c r="C828" s="654" t="s">
        <v>1817</v>
      </c>
      <c r="D828" s="654" t="s">
        <v>3516</v>
      </c>
      <c r="E828" s="655" t="s">
        <v>99</v>
      </c>
      <c r="F828" s="656">
        <v>1</v>
      </c>
      <c r="G828" s="656" t="s">
        <v>4614</v>
      </c>
      <c r="H828" s="657" t="s">
        <v>4614</v>
      </c>
    </row>
    <row r="829" spans="1:8" customFormat="1" ht="15" x14ac:dyDescent="0.25">
      <c r="A829" s="659" t="s">
        <v>4172</v>
      </c>
      <c r="B829" s="660" t="s">
        <v>1114</v>
      </c>
      <c r="C829" s="660" t="s">
        <v>1260</v>
      </c>
      <c r="D829" s="660" t="s">
        <v>3502</v>
      </c>
      <c r="E829" s="661" t="s">
        <v>1116</v>
      </c>
      <c r="F829" s="662" t="s">
        <v>3711</v>
      </c>
      <c r="G829" s="662" t="s">
        <v>4173</v>
      </c>
      <c r="H829" s="663">
        <v>17.68</v>
      </c>
    </row>
    <row r="830" spans="1:8" customFormat="1" ht="15" x14ac:dyDescent="0.25">
      <c r="A830" s="659" t="s">
        <v>4567</v>
      </c>
      <c r="B830" s="660" t="s">
        <v>1114</v>
      </c>
      <c r="C830" s="660" t="s">
        <v>1362</v>
      </c>
      <c r="D830" s="660" t="s">
        <v>3502</v>
      </c>
      <c r="E830" s="661" t="s">
        <v>1116</v>
      </c>
      <c r="F830" s="662" t="s">
        <v>3902</v>
      </c>
      <c r="G830" s="662" t="s">
        <v>4568</v>
      </c>
      <c r="H830" s="663">
        <v>7.2</v>
      </c>
    </row>
    <row r="831" spans="1:8" customFormat="1" ht="15.75" thickBot="1" x14ac:dyDescent="0.3">
      <c r="A831" s="673" t="s">
        <v>4615</v>
      </c>
      <c r="B831" s="674" t="s">
        <v>3702</v>
      </c>
      <c r="C831" s="674" t="s">
        <v>2555</v>
      </c>
      <c r="D831" s="674" t="s">
        <v>1175</v>
      </c>
      <c r="E831" s="675" t="s">
        <v>99</v>
      </c>
      <c r="F831" s="676" t="s">
        <v>3711</v>
      </c>
      <c r="G831" s="676" t="s">
        <v>4616</v>
      </c>
      <c r="H831" s="677">
        <v>22.27</v>
      </c>
    </row>
    <row r="832" spans="1:8" customFormat="1" ht="15.75" thickTop="1" x14ac:dyDescent="0.25">
      <c r="A832" s="665"/>
      <c r="B832" s="666"/>
      <c r="C832" s="666"/>
      <c r="D832" s="666"/>
      <c r="E832" s="666"/>
      <c r="F832" s="666"/>
      <c r="G832" s="666"/>
      <c r="H832" s="667"/>
    </row>
    <row r="833" spans="1:8" customFormat="1" ht="15" x14ac:dyDescent="0.25">
      <c r="A833" s="668" t="s">
        <v>3457</v>
      </c>
      <c r="B833" s="669" t="s">
        <v>3697</v>
      </c>
      <c r="C833" s="669" t="s">
        <v>3460</v>
      </c>
      <c r="D833" s="669" t="s">
        <v>3462</v>
      </c>
      <c r="E833" s="670" t="s">
        <v>69</v>
      </c>
      <c r="F833" s="671" t="s">
        <v>63</v>
      </c>
      <c r="G833" s="671" t="s">
        <v>3720</v>
      </c>
      <c r="H833" s="672" t="s">
        <v>453</v>
      </c>
    </row>
    <row r="834" spans="1:8" s="658" customFormat="1" ht="33.75" x14ac:dyDescent="0.25">
      <c r="A834" s="653" t="s">
        <v>4617</v>
      </c>
      <c r="B834" s="654" t="s">
        <v>3702</v>
      </c>
      <c r="C834" s="654" t="s">
        <v>1818</v>
      </c>
      <c r="D834" s="654" t="s">
        <v>3516</v>
      </c>
      <c r="E834" s="655" t="s">
        <v>99</v>
      </c>
      <c r="F834" s="656">
        <v>1</v>
      </c>
      <c r="G834" s="656" t="s">
        <v>4618</v>
      </c>
      <c r="H834" s="657" t="s">
        <v>4618</v>
      </c>
    </row>
    <row r="835" spans="1:8" customFormat="1" ht="15" x14ac:dyDescent="0.25">
      <c r="A835" s="659" t="s">
        <v>4172</v>
      </c>
      <c r="B835" s="660" t="s">
        <v>1114</v>
      </c>
      <c r="C835" s="660" t="s">
        <v>1260</v>
      </c>
      <c r="D835" s="660" t="s">
        <v>3502</v>
      </c>
      <c r="E835" s="661" t="s">
        <v>1116</v>
      </c>
      <c r="F835" s="662" t="s">
        <v>3711</v>
      </c>
      <c r="G835" s="662" t="s">
        <v>4173</v>
      </c>
      <c r="H835" s="663">
        <v>17.68</v>
      </c>
    </row>
    <row r="836" spans="1:8" customFormat="1" ht="15" x14ac:dyDescent="0.25">
      <c r="A836" s="659" t="s">
        <v>4567</v>
      </c>
      <c r="B836" s="660" t="s">
        <v>1114</v>
      </c>
      <c r="C836" s="660" t="s">
        <v>1362</v>
      </c>
      <c r="D836" s="660" t="s">
        <v>3502</v>
      </c>
      <c r="E836" s="661" t="s">
        <v>1116</v>
      </c>
      <c r="F836" s="662" t="s">
        <v>3902</v>
      </c>
      <c r="G836" s="662" t="s">
        <v>4568</v>
      </c>
      <c r="H836" s="663">
        <v>7.2</v>
      </c>
    </row>
    <row r="837" spans="1:8" customFormat="1" ht="15.75" thickBot="1" x14ac:dyDescent="0.3">
      <c r="A837" s="673" t="s">
        <v>4619</v>
      </c>
      <c r="B837" s="674" t="s">
        <v>3702</v>
      </c>
      <c r="C837" s="674" t="s">
        <v>2557</v>
      </c>
      <c r="D837" s="674" t="s">
        <v>1175</v>
      </c>
      <c r="E837" s="675" t="s">
        <v>99</v>
      </c>
      <c r="F837" s="676" t="s">
        <v>3711</v>
      </c>
      <c r="G837" s="676" t="s">
        <v>4620</v>
      </c>
      <c r="H837" s="677">
        <v>59.41</v>
      </c>
    </row>
    <row r="838" spans="1:8" customFormat="1" ht="15.75" thickTop="1" x14ac:dyDescent="0.25">
      <c r="A838" s="665"/>
      <c r="B838" s="666"/>
      <c r="C838" s="666"/>
      <c r="D838" s="666"/>
      <c r="E838" s="666"/>
      <c r="F838" s="666"/>
      <c r="G838" s="666"/>
      <c r="H838" s="667"/>
    </row>
    <row r="839" spans="1:8" customFormat="1" ht="15" x14ac:dyDescent="0.25">
      <c r="A839" s="668" t="s">
        <v>3457</v>
      </c>
      <c r="B839" s="669" t="s">
        <v>3697</v>
      </c>
      <c r="C839" s="669" t="s">
        <v>3460</v>
      </c>
      <c r="D839" s="669" t="s">
        <v>3462</v>
      </c>
      <c r="E839" s="670" t="s">
        <v>69</v>
      </c>
      <c r="F839" s="671" t="s">
        <v>63</v>
      </c>
      <c r="G839" s="671" t="s">
        <v>3720</v>
      </c>
      <c r="H839" s="672" t="s">
        <v>453</v>
      </c>
    </row>
    <row r="840" spans="1:8" s="658" customFormat="1" ht="33.75" x14ac:dyDescent="0.25">
      <c r="A840" s="653" t="s">
        <v>3518</v>
      </c>
      <c r="B840" s="654" t="s">
        <v>3702</v>
      </c>
      <c r="C840" s="654" t="s">
        <v>910</v>
      </c>
      <c r="D840" s="654" t="s">
        <v>3516</v>
      </c>
      <c r="E840" s="655" t="s">
        <v>56</v>
      </c>
      <c r="F840" s="656">
        <v>1</v>
      </c>
      <c r="G840" s="656" t="s">
        <v>4621</v>
      </c>
      <c r="H840" s="657" t="s">
        <v>4621</v>
      </c>
    </row>
    <row r="841" spans="1:8" customFormat="1" ht="15" x14ac:dyDescent="0.25">
      <c r="A841" s="659" t="s">
        <v>4172</v>
      </c>
      <c r="B841" s="660" t="s">
        <v>1114</v>
      </c>
      <c r="C841" s="660" t="s">
        <v>1260</v>
      </c>
      <c r="D841" s="660" t="s">
        <v>3502</v>
      </c>
      <c r="E841" s="661" t="s">
        <v>1116</v>
      </c>
      <c r="F841" s="662" t="s">
        <v>3824</v>
      </c>
      <c r="G841" s="662" t="s">
        <v>4173</v>
      </c>
      <c r="H841" s="663">
        <v>5.3039999999999994</v>
      </c>
    </row>
    <row r="842" spans="1:8" customFormat="1" ht="15" x14ac:dyDescent="0.25">
      <c r="A842" s="659" t="s">
        <v>3737</v>
      </c>
      <c r="B842" s="660" t="s">
        <v>1114</v>
      </c>
      <c r="C842" s="660" t="s">
        <v>1134</v>
      </c>
      <c r="D842" s="660" t="s">
        <v>3502</v>
      </c>
      <c r="E842" s="661" t="s">
        <v>1116</v>
      </c>
      <c r="F842" s="662" t="s">
        <v>3824</v>
      </c>
      <c r="G842" s="662" t="s">
        <v>3739</v>
      </c>
      <c r="H842" s="663">
        <v>4.1639999999999997</v>
      </c>
    </row>
    <row r="843" spans="1:8" customFormat="1" ht="15.75" thickBot="1" x14ac:dyDescent="0.3">
      <c r="A843" s="673" t="s">
        <v>4622</v>
      </c>
      <c r="B843" s="674" t="s">
        <v>3702</v>
      </c>
      <c r="C843" s="674" t="s">
        <v>1378</v>
      </c>
      <c r="D843" s="674" t="s">
        <v>1175</v>
      </c>
      <c r="E843" s="675" t="s">
        <v>56</v>
      </c>
      <c r="F843" s="676" t="s">
        <v>3711</v>
      </c>
      <c r="G843" s="676" t="s">
        <v>4623</v>
      </c>
      <c r="H843" s="677">
        <v>64.37</v>
      </c>
    </row>
    <row r="844" spans="1:8" customFormat="1" ht="15.75" thickTop="1" x14ac:dyDescent="0.25">
      <c r="A844" s="665"/>
      <c r="B844" s="666"/>
      <c r="C844" s="666"/>
      <c r="D844" s="666"/>
      <c r="E844" s="666"/>
      <c r="F844" s="666"/>
      <c r="G844" s="666"/>
      <c r="H844" s="667"/>
    </row>
    <row r="845" spans="1:8" customFormat="1" ht="15" x14ac:dyDescent="0.25">
      <c r="A845" s="668" t="s">
        <v>3457</v>
      </c>
      <c r="B845" s="669" t="s">
        <v>3697</v>
      </c>
      <c r="C845" s="669" t="s">
        <v>3460</v>
      </c>
      <c r="D845" s="669" t="s">
        <v>3462</v>
      </c>
      <c r="E845" s="670" t="s">
        <v>69</v>
      </c>
      <c r="F845" s="671" t="s">
        <v>63</v>
      </c>
      <c r="G845" s="671" t="s">
        <v>3720</v>
      </c>
      <c r="H845" s="672" t="s">
        <v>453</v>
      </c>
    </row>
    <row r="846" spans="1:8" s="658" customFormat="1" ht="33.75" x14ac:dyDescent="0.25">
      <c r="A846" s="653" t="s">
        <v>3610</v>
      </c>
      <c r="B846" s="654" t="s">
        <v>3702</v>
      </c>
      <c r="C846" s="654" t="s">
        <v>1649</v>
      </c>
      <c r="D846" s="654" t="s">
        <v>3516</v>
      </c>
      <c r="E846" s="655" t="s">
        <v>99</v>
      </c>
      <c r="F846" s="656">
        <v>1</v>
      </c>
      <c r="G846" s="656" t="s">
        <v>4624</v>
      </c>
      <c r="H846" s="657" t="s">
        <v>4624</v>
      </c>
    </row>
    <row r="847" spans="1:8" customFormat="1" ht="15" x14ac:dyDescent="0.25">
      <c r="A847" s="659" t="s">
        <v>3737</v>
      </c>
      <c r="B847" s="660" t="s">
        <v>1114</v>
      </c>
      <c r="C847" s="660" t="s">
        <v>1134</v>
      </c>
      <c r="D847" s="660" t="s">
        <v>3502</v>
      </c>
      <c r="E847" s="661" t="s">
        <v>1116</v>
      </c>
      <c r="F847" s="662" t="s">
        <v>4046</v>
      </c>
      <c r="G847" s="662" t="s">
        <v>3739</v>
      </c>
      <c r="H847" s="663">
        <v>6.2460000000000004</v>
      </c>
    </row>
    <row r="848" spans="1:8" customFormat="1" ht="15.75" thickBot="1" x14ac:dyDescent="0.3">
      <c r="A848" s="673" t="s">
        <v>4625</v>
      </c>
      <c r="B848" s="674" t="s">
        <v>3702</v>
      </c>
      <c r="C848" s="674" t="s">
        <v>2563</v>
      </c>
      <c r="D848" s="674" t="s">
        <v>1175</v>
      </c>
      <c r="E848" s="675" t="s">
        <v>99</v>
      </c>
      <c r="F848" s="676" t="s">
        <v>4626</v>
      </c>
      <c r="G848" s="676" t="s">
        <v>4627</v>
      </c>
      <c r="H848" s="677">
        <v>1.9487999999999996</v>
      </c>
    </row>
    <row r="849" spans="1:8" customFormat="1" ht="15.75" thickTop="1" x14ac:dyDescent="0.25">
      <c r="A849" s="665"/>
      <c r="B849" s="666"/>
      <c r="C849" s="666"/>
      <c r="D849" s="666"/>
      <c r="E849" s="666"/>
      <c r="F849" s="666"/>
      <c r="G849" s="666"/>
      <c r="H849" s="667"/>
    </row>
    <row r="850" spans="1:8" customFormat="1" ht="15" x14ac:dyDescent="0.25">
      <c r="A850" s="668" t="s">
        <v>3457</v>
      </c>
      <c r="B850" s="669" t="s">
        <v>3697</v>
      </c>
      <c r="C850" s="669" t="s">
        <v>3460</v>
      </c>
      <c r="D850" s="669" t="s">
        <v>3462</v>
      </c>
      <c r="E850" s="670" t="s">
        <v>69</v>
      </c>
      <c r="F850" s="671" t="s">
        <v>63</v>
      </c>
      <c r="G850" s="671" t="s">
        <v>3720</v>
      </c>
      <c r="H850" s="672" t="s">
        <v>453</v>
      </c>
    </row>
    <row r="851" spans="1:8" s="658" customFormat="1" ht="33.75" x14ac:dyDescent="0.25">
      <c r="A851" s="653" t="s">
        <v>3532</v>
      </c>
      <c r="B851" s="654" t="s">
        <v>3702</v>
      </c>
      <c r="C851" s="654" t="s">
        <v>3533</v>
      </c>
      <c r="D851" s="654" t="s">
        <v>3516</v>
      </c>
      <c r="E851" s="655" t="s">
        <v>56</v>
      </c>
      <c r="F851" s="656">
        <v>1</v>
      </c>
      <c r="G851" s="656" t="s">
        <v>4628</v>
      </c>
      <c r="H851" s="657" t="s">
        <v>4628</v>
      </c>
    </row>
    <row r="852" spans="1:8" customFormat="1" ht="15" x14ac:dyDescent="0.25">
      <c r="A852" s="659" t="s">
        <v>4172</v>
      </c>
      <c r="B852" s="660" t="s">
        <v>1114</v>
      </c>
      <c r="C852" s="660" t="s">
        <v>1260</v>
      </c>
      <c r="D852" s="660" t="s">
        <v>3502</v>
      </c>
      <c r="E852" s="661" t="s">
        <v>1116</v>
      </c>
      <c r="F852" s="662" t="s">
        <v>3711</v>
      </c>
      <c r="G852" s="662" t="s">
        <v>4173</v>
      </c>
      <c r="H852" s="663">
        <v>17.68</v>
      </c>
    </row>
    <row r="853" spans="1:8" customFormat="1" ht="15" x14ac:dyDescent="0.25">
      <c r="A853" s="659" t="s">
        <v>3737</v>
      </c>
      <c r="B853" s="660" t="s">
        <v>1114</v>
      </c>
      <c r="C853" s="660" t="s">
        <v>1134</v>
      </c>
      <c r="D853" s="660" t="s">
        <v>3502</v>
      </c>
      <c r="E853" s="661" t="s">
        <v>1116</v>
      </c>
      <c r="F853" s="662" t="s">
        <v>3711</v>
      </c>
      <c r="G853" s="662" t="s">
        <v>3739</v>
      </c>
      <c r="H853" s="663">
        <v>13.88</v>
      </c>
    </row>
    <row r="854" spans="1:8" customFormat="1" ht="15.75" thickBot="1" x14ac:dyDescent="0.3">
      <c r="A854" s="673" t="s">
        <v>4629</v>
      </c>
      <c r="B854" s="674" t="s">
        <v>3702</v>
      </c>
      <c r="C854" s="674" t="s">
        <v>2677</v>
      </c>
      <c r="D854" s="674" t="s">
        <v>1175</v>
      </c>
      <c r="E854" s="675" t="s">
        <v>56</v>
      </c>
      <c r="F854" s="676" t="s">
        <v>3711</v>
      </c>
      <c r="G854" s="676" t="s">
        <v>4630</v>
      </c>
      <c r="H854" s="677">
        <v>2512</v>
      </c>
    </row>
    <row r="855" spans="1:8" customFormat="1" ht="15.75" thickTop="1" x14ac:dyDescent="0.25">
      <c r="A855" s="665"/>
      <c r="B855" s="666"/>
      <c r="C855" s="666"/>
      <c r="D855" s="666"/>
      <c r="E855" s="666"/>
      <c r="F855" s="666"/>
      <c r="G855" s="666"/>
      <c r="H855" s="667"/>
    </row>
    <row r="856" spans="1:8" customFormat="1" ht="15" x14ac:dyDescent="0.25">
      <c r="A856" s="668" t="s">
        <v>3457</v>
      </c>
      <c r="B856" s="669" t="s">
        <v>3697</v>
      </c>
      <c r="C856" s="669" t="s">
        <v>3460</v>
      </c>
      <c r="D856" s="669" t="s">
        <v>3462</v>
      </c>
      <c r="E856" s="670" t="s">
        <v>69</v>
      </c>
      <c r="F856" s="671" t="s">
        <v>63</v>
      </c>
      <c r="G856" s="671" t="s">
        <v>3720</v>
      </c>
      <c r="H856" s="672" t="s">
        <v>453</v>
      </c>
    </row>
    <row r="857" spans="1:8" s="658" customFormat="1" ht="33.75" x14ac:dyDescent="0.25">
      <c r="A857" s="653" t="s">
        <v>4631</v>
      </c>
      <c r="B857" s="654" t="s">
        <v>3702</v>
      </c>
      <c r="C857" s="654" t="s">
        <v>914</v>
      </c>
      <c r="D857" s="654" t="s">
        <v>3516</v>
      </c>
      <c r="E857" s="655" t="s">
        <v>56</v>
      </c>
      <c r="F857" s="656">
        <v>1</v>
      </c>
      <c r="G857" s="656" t="s">
        <v>4632</v>
      </c>
      <c r="H857" s="657" t="s">
        <v>4632</v>
      </c>
    </row>
    <row r="858" spans="1:8" customFormat="1" ht="15" x14ac:dyDescent="0.25">
      <c r="A858" s="659" t="s">
        <v>4172</v>
      </c>
      <c r="B858" s="660" t="s">
        <v>1114</v>
      </c>
      <c r="C858" s="660" t="s">
        <v>1260</v>
      </c>
      <c r="D858" s="660" t="s">
        <v>3502</v>
      </c>
      <c r="E858" s="661" t="s">
        <v>1116</v>
      </c>
      <c r="F858" s="662" t="s">
        <v>3824</v>
      </c>
      <c r="G858" s="662" t="s">
        <v>4173</v>
      </c>
      <c r="H858" s="663">
        <v>5.3039999999999994</v>
      </c>
    </row>
    <row r="859" spans="1:8" customFormat="1" ht="15" x14ac:dyDescent="0.25">
      <c r="A859" s="659" t="s">
        <v>3737</v>
      </c>
      <c r="B859" s="660" t="s">
        <v>1114</v>
      </c>
      <c r="C859" s="660" t="s">
        <v>1134</v>
      </c>
      <c r="D859" s="660" t="s">
        <v>3502</v>
      </c>
      <c r="E859" s="661" t="s">
        <v>1116</v>
      </c>
      <c r="F859" s="662" t="s">
        <v>3824</v>
      </c>
      <c r="G859" s="662" t="s">
        <v>3739</v>
      </c>
      <c r="H859" s="663">
        <v>4.1639999999999997</v>
      </c>
    </row>
    <row r="860" spans="1:8" customFormat="1" ht="15" x14ac:dyDescent="0.25">
      <c r="A860" s="673" t="s">
        <v>4633</v>
      </c>
      <c r="B860" s="674" t="s">
        <v>3702</v>
      </c>
      <c r="C860" s="674" t="s">
        <v>1559</v>
      </c>
      <c r="D860" s="674" t="s">
        <v>1175</v>
      </c>
      <c r="E860" s="675" t="s">
        <v>56</v>
      </c>
      <c r="F860" s="676" t="s">
        <v>3711</v>
      </c>
      <c r="G860" s="676" t="s">
        <v>4634</v>
      </c>
      <c r="H860" s="678">
        <v>1314.28</v>
      </c>
    </row>
    <row r="861" spans="1:8" customFormat="1" ht="15.75" thickBot="1" x14ac:dyDescent="0.3">
      <c r="A861" s="673" t="s">
        <v>4635</v>
      </c>
      <c r="B861" s="674" t="s">
        <v>1114</v>
      </c>
      <c r="C861" s="674" t="s">
        <v>1558</v>
      </c>
      <c r="D861" s="674" t="s">
        <v>1175</v>
      </c>
      <c r="E861" s="675" t="s">
        <v>56</v>
      </c>
      <c r="F861" s="676" t="s">
        <v>3826</v>
      </c>
      <c r="G861" s="676" t="s">
        <v>4636</v>
      </c>
      <c r="H861" s="677">
        <v>3.6</v>
      </c>
    </row>
    <row r="862" spans="1:8" customFormat="1" ht="15.75" thickTop="1" x14ac:dyDescent="0.25">
      <c r="A862" s="665"/>
      <c r="B862" s="666"/>
      <c r="C862" s="666"/>
      <c r="D862" s="666"/>
      <c r="E862" s="666"/>
      <c r="F862" s="666"/>
      <c r="G862" s="666"/>
      <c r="H862" s="667"/>
    </row>
    <row r="863" spans="1:8" customFormat="1" ht="15" x14ac:dyDescent="0.25">
      <c r="A863" s="668" t="s">
        <v>3457</v>
      </c>
      <c r="B863" s="669" t="s">
        <v>3697</v>
      </c>
      <c r="C863" s="669" t="s">
        <v>3460</v>
      </c>
      <c r="D863" s="669" t="s">
        <v>3462</v>
      </c>
      <c r="E863" s="670" t="s">
        <v>69</v>
      </c>
      <c r="F863" s="671" t="s">
        <v>63</v>
      </c>
      <c r="G863" s="671" t="s">
        <v>3720</v>
      </c>
      <c r="H863" s="672" t="s">
        <v>453</v>
      </c>
    </row>
    <row r="864" spans="1:8" s="658" customFormat="1" ht="33.75" x14ac:dyDescent="0.25">
      <c r="A864" s="653" t="s">
        <v>4637</v>
      </c>
      <c r="B864" s="654" t="s">
        <v>3702</v>
      </c>
      <c r="C864" s="654" t="s">
        <v>977</v>
      </c>
      <c r="D864" s="654" t="s">
        <v>3516</v>
      </c>
      <c r="E864" s="655" t="s">
        <v>56</v>
      </c>
      <c r="F864" s="656">
        <v>1</v>
      </c>
      <c r="G864" s="656" t="s">
        <v>4638</v>
      </c>
      <c r="H864" s="657" t="s">
        <v>4638</v>
      </c>
    </row>
    <row r="865" spans="1:8" customFormat="1" ht="15" x14ac:dyDescent="0.25">
      <c r="A865" s="659" t="s">
        <v>4172</v>
      </c>
      <c r="B865" s="660" t="s">
        <v>1114</v>
      </c>
      <c r="C865" s="660" t="s">
        <v>1260</v>
      </c>
      <c r="D865" s="660" t="s">
        <v>3502</v>
      </c>
      <c r="E865" s="661" t="s">
        <v>1116</v>
      </c>
      <c r="F865" s="662" t="s">
        <v>4639</v>
      </c>
      <c r="G865" s="662" t="s">
        <v>4173</v>
      </c>
      <c r="H865" s="663">
        <v>300.56</v>
      </c>
    </row>
    <row r="866" spans="1:8" customFormat="1" ht="15" x14ac:dyDescent="0.25">
      <c r="A866" s="659" t="s">
        <v>4567</v>
      </c>
      <c r="B866" s="660" t="s">
        <v>1114</v>
      </c>
      <c r="C866" s="660" t="s">
        <v>1362</v>
      </c>
      <c r="D866" s="660" t="s">
        <v>3502</v>
      </c>
      <c r="E866" s="661" t="s">
        <v>1116</v>
      </c>
      <c r="F866" s="662" t="s">
        <v>4640</v>
      </c>
      <c r="G866" s="662" t="s">
        <v>4568</v>
      </c>
      <c r="H866" s="663">
        <v>230.4</v>
      </c>
    </row>
    <row r="867" spans="1:8" customFormat="1" ht="15" x14ac:dyDescent="0.25">
      <c r="A867" s="659" t="s">
        <v>3735</v>
      </c>
      <c r="B867" s="660" t="s">
        <v>1114</v>
      </c>
      <c r="C867" s="660" t="s">
        <v>1133</v>
      </c>
      <c r="D867" s="660" t="s">
        <v>3502</v>
      </c>
      <c r="E867" s="661" t="s">
        <v>1116</v>
      </c>
      <c r="F867" s="662" t="s">
        <v>4641</v>
      </c>
      <c r="G867" s="662" t="s">
        <v>3736</v>
      </c>
      <c r="H867" s="663">
        <v>102.47999999999999</v>
      </c>
    </row>
    <row r="868" spans="1:8" customFormat="1" ht="15" x14ac:dyDescent="0.25">
      <c r="A868" s="659" t="s">
        <v>3737</v>
      </c>
      <c r="B868" s="660" t="s">
        <v>1114</v>
      </c>
      <c r="C868" s="660" t="s">
        <v>1134</v>
      </c>
      <c r="D868" s="660" t="s">
        <v>3502</v>
      </c>
      <c r="E868" s="661" t="s">
        <v>1116</v>
      </c>
      <c r="F868" s="662" t="s">
        <v>3733</v>
      </c>
      <c r="G868" s="662" t="s">
        <v>3739</v>
      </c>
      <c r="H868" s="663">
        <v>111.04</v>
      </c>
    </row>
    <row r="869" spans="1:8" customFormat="1" ht="33.75" x14ac:dyDescent="0.25">
      <c r="A869" s="659" t="s">
        <v>4642</v>
      </c>
      <c r="B869" s="660" t="s">
        <v>1114</v>
      </c>
      <c r="C869" s="660" t="s">
        <v>1398</v>
      </c>
      <c r="D869" s="660" t="s">
        <v>3873</v>
      </c>
      <c r="E869" s="661" t="s">
        <v>1116</v>
      </c>
      <c r="F869" s="662" t="s">
        <v>3711</v>
      </c>
      <c r="G869" s="662" t="s">
        <v>4643</v>
      </c>
      <c r="H869" s="663">
        <v>31.71</v>
      </c>
    </row>
    <row r="870" spans="1:8" customFormat="1" ht="22.5" x14ac:dyDescent="0.25">
      <c r="A870" s="659" t="s">
        <v>4644</v>
      </c>
      <c r="B870" s="660" t="s">
        <v>1114</v>
      </c>
      <c r="C870" s="660" t="s">
        <v>1420</v>
      </c>
      <c r="D870" s="660" t="s">
        <v>3482</v>
      </c>
      <c r="E870" s="661" t="s">
        <v>106</v>
      </c>
      <c r="F870" s="662" t="s">
        <v>4154</v>
      </c>
      <c r="G870" s="662" t="s">
        <v>4645</v>
      </c>
      <c r="H870" s="663">
        <v>18.600000000000001</v>
      </c>
    </row>
    <row r="871" spans="1:8" customFormat="1" ht="22.5" x14ac:dyDescent="0.25">
      <c r="A871" s="659" t="s">
        <v>4293</v>
      </c>
      <c r="B871" s="660" t="s">
        <v>1114</v>
      </c>
      <c r="C871" s="660" t="s">
        <v>4294</v>
      </c>
      <c r="D871" s="660" t="s">
        <v>3482</v>
      </c>
      <c r="E871" s="661" t="s">
        <v>273</v>
      </c>
      <c r="F871" s="662" t="s">
        <v>4646</v>
      </c>
      <c r="G871" s="662" t="s">
        <v>4296</v>
      </c>
      <c r="H871" s="663">
        <v>264.58080000000001</v>
      </c>
    </row>
    <row r="872" spans="1:8" customFormat="1" ht="22.5" x14ac:dyDescent="0.25">
      <c r="A872" s="659" t="s">
        <v>4297</v>
      </c>
      <c r="B872" s="660" t="s">
        <v>1114</v>
      </c>
      <c r="C872" s="660" t="s">
        <v>2123</v>
      </c>
      <c r="D872" s="660" t="s">
        <v>3482</v>
      </c>
      <c r="E872" s="661" t="s">
        <v>273</v>
      </c>
      <c r="F872" s="662" t="s">
        <v>4646</v>
      </c>
      <c r="G872" s="662" t="s">
        <v>4298</v>
      </c>
      <c r="H872" s="663">
        <v>80.326400000000007</v>
      </c>
    </row>
    <row r="873" spans="1:8" customFormat="1" ht="33.75" x14ac:dyDescent="0.25">
      <c r="A873" s="659" t="s">
        <v>4394</v>
      </c>
      <c r="B873" s="660" t="s">
        <v>1114</v>
      </c>
      <c r="C873" s="660" t="s">
        <v>4395</v>
      </c>
      <c r="D873" s="660" t="s">
        <v>3572</v>
      </c>
      <c r="E873" s="661" t="s">
        <v>106</v>
      </c>
      <c r="F873" s="662" t="s">
        <v>4647</v>
      </c>
      <c r="G873" s="662" t="s">
        <v>4396</v>
      </c>
      <c r="H873" s="663">
        <v>337.07959999999997</v>
      </c>
    </row>
    <row r="874" spans="1:8" customFormat="1" ht="22.5" x14ac:dyDescent="0.25">
      <c r="A874" s="659" t="s">
        <v>4648</v>
      </c>
      <c r="B874" s="660" t="s">
        <v>1114</v>
      </c>
      <c r="C874" s="660" t="s">
        <v>687</v>
      </c>
      <c r="D874" s="660" t="s">
        <v>3463</v>
      </c>
      <c r="E874" s="661" t="s">
        <v>56</v>
      </c>
      <c r="F874" s="662" t="s">
        <v>3711</v>
      </c>
      <c r="G874" s="662" t="s">
        <v>4649</v>
      </c>
      <c r="H874" s="663">
        <v>320.64</v>
      </c>
    </row>
    <row r="875" spans="1:8" customFormat="1" ht="22.5" x14ac:dyDescent="0.25">
      <c r="A875" s="659" t="s">
        <v>4121</v>
      </c>
      <c r="B875" s="660" t="s">
        <v>1114</v>
      </c>
      <c r="C875" s="660" t="s">
        <v>503</v>
      </c>
      <c r="D875" s="660" t="s">
        <v>3498</v>
      </c>
      <c r="E875" s="661" t="s">
        <v>273</v>
      </c>
      <c r="F875" s="662" t="s">
        <v>4650</v>
      </c>
      <c r="G875" s="662" t="s">
        <v>4122</v>
      </c>
      <c r="H875" s="663">
        <v>222.18299999999999</v>
      </c>
    </row>
    <row r="876" spans="1:8" customFormat="1" ht="22.5" x14ac:dyDescent="0.25">
      <c r="A876" s="659" t="s">
        <v>4299</v>
      </c>
      <c r="B876" s="660" t="s">
        <v>1114</v>
      </c>
      <c r="C876" s="660" t="s">
        <v>506</v>
      </c>
      <c r="D876" s="660" t="s">
        <v>3498</v>
      </c>
      <c r="E876" s="661" t="s">
        <v>273</v>
      </c>
      <c r="F876" s="662" t="s">
        <v>4650</v>
      </c>
      <c r="G876" s="662" t="s">
        <v>4301</v>
      </c>
      <c r="H876" s="663">
        <v>168.5205</v>
      </c>
    </row>
    <row r="877" spans="1:8" customFormat="1" ht="15" x14ac:dyDescent="0.25">
      <c r="A877" s="673" t="s">
        <v>4651</v>
      </c>
      <c r="B877" s="674" t="s">
        <v>3702</v>
      </c>
      <c r="C877" s="674" t="s">
        <v>1399</v>
      </c>
      <c r="D877" s="674" t="s">
        <v>1175</v>
      </c>
      <c r="E877" s="675" t="s">
        <v>56</v>
      </c>
      <c r="F877" s="676" t="s">
        <v>3711</v>
      </c>
      <c r="G877" s="676" t="s">
        <v>4652</v>
      </c>
      <c r="H877" s="678">
        <v>1632.93</v>
      </c>
    </row>
    <row r="878" spans="1:8" customFormat="1" ht="22.5" x14ac:dyDescent="0.25">
      <c r="A878" s="673" t="s">
        <v>4653</v>
      </c>
      <c r="B878" s="674" t="s">
        <v>1114</v>
      </c>
      <c r="C878" s="674" t="s">
        <v>1400</v>
      </c>
      <c r="D878" s="674" t="s">
        <v>1175</v>
      </c>
      <c r="E878" s="675" t="s">
        <v>56</v>
      </c>
      <c r="F878" s="676" t="s">
        <v>3711</v>
      </c>
      <c r="G878" s="676" t="s">
        <v>4654</v>
      </c>
      <c r="H878" s="678">
        <v>2.88</v>
      </c>
    </row>
    <row r="879" spans="1:8" customFormat="1" ht="15" x14ac:dyDescent="0.25">
      <c r="A879" s="673" t="s">
        <v>4655</v>
      </c>
      <c r="B879" s="674" t="s">
        <v>3702</v>
      </c>
      <c r="C879" s="674" t="s">
        <v>1401</v>
      </c>
      <c r="D879" s="674" t="s">
        <v>1175</v>
      </c>
      <c r="E879" s="675" t="s">
        <v>56</v>
      </c>
      <c r="F879" s="676" t="s">
        <v>3826</v>
      </c>
      <c r="G879" s="676" t="s">
        <v>4656</v>
      </c>
      <c r="H879" s="678">
        <v>9.6199999999999992</v>
      </c>
    </row>
    <row r="880" spans="1:8" customFormat="1" ht="15" x14ac:dyDescent="0.25">
      <c r="A880" s="673" t="s">
        <v>4657</v>
      </c>
      <c r="B880" s="674" t="s">
        <v>1114</v>
      </c>
      <c r="C880" s="674" t="s">
        <v>1402</v>
      </c>
      <c r="D880" s="674" t="s">
        <v>1175</v>
      </c>
      <c r="E880" s="675" t="s">
        <v>56</v>
      </c>
      <c r="F880" s="676" t="s">
        <v>3711</v>
      </c>
      <c r="G880" s="676" t="s">
        <v>4658</v>
      </c>
      <c r="H880" s="678">
        <v>1.9</v>
      </c>
    </row>
    <row r="881" spans="1:8" customFormat="1" ht="15" x14ac:dyDescent="0.25">
      <c r="A881" s="673" t="s">
        <v>4659</v>
      </c>
      <c r="B881" s="674" t="s">
        <v>3702</v>
      </c>
      <c r="C881" s="674" t="s">
        <v>1403</v>
      </c>
      <c r="D881" s="674" t="s">
        <v>1175</v>
      </c>
      <c r="E881" s="675" t="s">
        <v>56</v>
      </c>
      <c r="F881" s="676" t="s">
        <v>3730</v>
      </c>
      <c r="G881" s="676" t="s">
        <v>3744</v>
      </c>
      <c r="H881" s="678">
        <v>35.520000000000003</v>
      </c>
    </row>
    <row r="882" spans="1:8" customFormat="1" ht="15" x14ac:dyDescent="0.25">
      <c r="A882" s="673" t="s">
        <v>4660</v>
      </c>
      <c r="B882" s="674" t="s">
        <v>3702</v>
      </c>
      <c r="C882" s="674" t="s">
        <v>1404</v>
      </c>
      <c r="D882" s="674" t="s">
        <v>1175</v>
      </c>
      <c r="E882" s="675" t="s">
        <v>56</v>
      </c>
      <c r="F882" s="676" t="s">
        <v>4661</v>
      </c>
      <c r="G882" s="676" t="s">
        <v>4662</v>
      </c>
      <c r="H882" s="678">
        <v>132</v>
      </c>
    </row>
    <row r="883" spans="1:8" customFormat="1" ht="15" x14ac:dyDescent="0.25">
      <c r="A883" s="673" t="s">
        <v>4663</v>
      </c>
      <c r="B883" s="674" t="s">
        <v>3702</v>
      </c>
      <c r="C883" s="674" t="s">
        <v>1405</v>
      </c>
      <c r="D883" s="674" t="s">
        <v>1175</v>
      </c>
      <c r="E883" s="675" t="s">
        <v>56</v>
      </c>
      <c r="F883" s="676" t="s">
        <v>4661</v>
      </c>
      <c r="G883" s="676" t="s">
        <v>4664</v>
      </c>
      <c r="H883" s="678">
        <v>30.900000000000002</v>
      </c>
    </row>
    <row r="884" spans="1:8" customFormat="1" ht="15" x14ac:dyDescent="0.25">
      <c r="A884" s="673" t="s">
        <v>4665</v>
      </c>
      <c r="B884" s="674" t="s">
        <v>3702</v>
      </c>
      <c r="C884" s="674" t="s">
        <v>1406</v>
      </c>
      <c r="D884" s="674" t="s">
        <v>1175</v>
      </c>
      <c r="E884" s="675" t="s">
        <v>56</v>
      </c>
      <c r="F884" s="676" t="s">
        <v>4661</v>
      </c>
      <c r="G884" s="676" t="s">
        <v>4666</v>
      </c>
      <c r="H884" s="678">
        <v>30.54</v>
      </c>
    </row>
    <row r="885" spans="1:8" customFormat="1" ht="15" x14ac:dyDescent="0.25">
      <c r="A885" s="673" t="s">
        <v>4667</v>
      </c>
      <c r="B885" s="674" t="s">
        <v>3702</v>
      </c>
      <c r="C885" s="674" t="s">
        <v>1407</v>
      </c>
      <c r="D885" s="674" t="s">
        <v>1175</v>
      </c>
      <c r="E885" s="675" t="s">
        <v>56</v>
      </c>
      <c r="F885" s="676" t="s">
        <v>3711</v>
      </c>
      <c r="G885" s="676" t="s">
        <v>4668</v>
      </c>
      <c r="H885" s="678">
        <v>83.96</v>
      </c>
    </row>
    <row r="886" spans="1:8" customFormat="1" ht="15" x14ac:dyDescent="0.25">
      <c r="A886" s="673" t="s">
        <v>4669</v>
      </c>
      <c r="B886" s="674" t="s">
        <v>3702</v>
      </c>
      <c r="C886" s="674" t="s">
        <v>1408</v>
      </c>
      <c r="D886" s="674" t="s">
        <v>1175</v>
      </c>
      <c r="E886" s="675" t="s">
        <v>56</v>
      </c>
      <c r="F886" s="676" t="s">
        <v>3711</v>
      </c>
      <c r="G886" s="676" t="s">
        <v>4670</v>
      </c>
      <c r="H886" s="678">
        <v>19.809999999999999</v>
      </c>
    </row>
    <row r="887" spans="1:8" customFormat="1" ht="15" x14ac:dyDescent="0.25">
      <c r="A887" s="673" t="s">
        <v>4671</v>
      </c>
      <c r="B887" s="674" t="s">
        <v>3702</v>
      </c>
      <c r="C887" s="674" t="s">
        <v>1409</v>
      </c>
      <c r="D887" s="674" t="s">
        <v>1175</v>
      </c>
      <c r="E887" s="675" t="s">
        <v>56</v>
      </c>
      <c r="F887" s="676" t="s">
        <v>4661</v>
      </c>
      <c r="G887" s="676" t="s">
        <v>4672</v>
      </c>
      <c r="H887" s="678">
        <v>555.03</v>
      </c>
    </row>
    <row r="888" spans="1:8" customFormat="1" ht="15" x14ac:dyDescent="0.25">
      <c r="A888" s="673" t="s">
        <v>4673</v>
      </c>
      <c r="B888" s="674" t="s">
        <v>3702</v>
      </c>
      <c r="C888" s="674" t="s">
        <v>1410</v>
      </c>
      <c r="D888" s="674" t="s">
        <v>1175</v>
      </c>
      <c r="E888" s="675" t="s">
        <v>56</v>
      </c>
      <c r="F888" s="676" t="s">
        <v>3711</v>
      </c>
      <c r="G888" s="676" t="s">
        <v>4674</v>
      </c>
      <c r="H888" s="678">
        <v>96.49</v>
      </c>
    </row>
    <row r="889" spans="1:8" customFormat="1" ht="15" x14ac:dyDescent="0.25">
      <c r="A889" s="673" t="s">
        <v>4675</v>
      </c>
      <c r="B889" s="674" t="s">
        <v>3702</v>
      </c>
      <c r="C889" s="674" t="s">
        <v>1411</v>
      </c>
      <c r="D889" s="674" t="s">
        <v>1175</v>
      </c>
      <c r="E889" s="675" t="s">
        <v>56</v>
      </c>
      <c r="F889" s="676" t="s">
        <v>4661</v>
      </c>
      <c r="G889" s="676" t="s">
        <v>4120</v>
      </c>
      <c r="H889" s="678">
        <v>747.15000000000009</v>
      </c>
    </row>
    <row r="890" spans="1:8" customFormat="1" ht="15" x14ac:dyDescent="0.25">
      <c r="A890" s="673" t="s">
        <v>4676</v>
      </c>
      <c r="B890" s="674" t="s">
        <v>3702</v>
      </c>
      <c r="C890" s="674" t="s">
        <v>1412</v>
      </c>
      <c r="D890" s="674" t="s">
        <v>1175</v>
      </c>
      <c r="E890" s="675" t="s">
        <v>56</v>
      </c>
      <c r="F890" s="676" t="s">
        <v>4661</v>
      </c>
      <c r="G890" s="676" t="s">
        <v>4658</v>
      </c>
      <c r="H890" s="678">
        <v>5.6999999999999993</v>
      </c>
    </row>
    <row r="891" spans="1:8" customFormat="1" ht="15" x14ac:dyDescent="0.25">
      <c r="A891" s="673" t="s">
        <v>4677</v>
      </c>
      <c r="B891" s="674" t="s">
        <v>3702</v>
      </c>
      <c r="C891" s="674" t="s">
        <v>1413</v>
      </c>
      <c r="D891" s="674" t="s">
        <v>1175</v>
      </c>
      <c r="E891" s="675" t="s">
        <v>56</v>
      </c>
      <c r="F891" s="676" t="s">
        <v>3826</v>
      </c>
      <c r="G891" s="676" t="s">
        <v>4678</v>
      </c>
      <c r="H891" s="678">
        <v>11.32</v>
      </c>
    </row>
    <row r="892" spans="1:8" customFormat="1" ht="15" x14ac:dyDescent="0.25">
      <c r="A892" s="673" t="s">
        <v>4679</v>
      </c>
      <c r="B892" s="674" t="s">
        <v>3702</v>
      </c>
      <c r="C892" s="674" t="s">
        <v>1414</v>
      </c>
      <c r="D892" s="674" t="s">
        <v>1175</v>
      </c>
      <c r="E892" s="675" t="s">
        <v>56</v>
      </c>
      <c r="F892" s="676" t="s">
        <v>3826</v>
      </c>
      <c r="G892" s="676" t="s">
        <v>4680</v>
      </c>
      <c r="H892" s="678">
        <v>69.92</v>
      </c>
    </row>
    <row r="893" spans="1:8" customFormat="1" ht="15" x14ac:dyDescent="0.25">
      <c r="A893" s="673" t="s">
        <v>4681</v>
      </c>
      <c r="B893" s="674" t="s">
        <v>3702</v>
      </c>
      <c r="C893" s="674" t="s">
        <v>1415</v>
      </c>
      <c r="D893" s="674" t="s">
        <v>1175</v>
      </c>
      <c r="E893" s="675" t="s">
        <v>56</v>
      </c>
      <c r="F893" s="676" t="s">
        <v>3747</v>
      </c>
      <c r="G893" s="676" t="s">
        <v>3897</v>
      </c>
      <c r="H893" s="678">
        <v>2.8000000000000003</v>
      </c>
    </row>
    <row r="894" spans="1:8" customFormat="1" ht="15" x14ac:dyDescent="0.25">
      <c r="A894" s="673" t="s">
        <v>4682</v>
      </c>
      <c r="B894" s="674" t="s">
        <v>3702</v>
      </c>
      <c r="C894" s="674" t="s">
        <v>1416</v>
      </c>
      <c r="D894" s="674" t="s">
        <v>1175</v>
      </c>
      <c r="E894" s="675" t="s">
        <v>56</v>
      </c>
      <c r="F894" s="676" t="s">
        <v>3826</v>
      </c>
      <c r="G894" s="676" t="s">
        <v>4683</v>
      </c>
      <c r="H894" s="678">
        <v>36.979999999999997</v>
      </c>
    </row>
    <row r="895" spans="1:8" customFormat="1" ht="15" x14ac:dyDescent="0.25">
      <c r="A895" s="673" t="s">
        <v>4684</v>
      </c>
      <c r="B895" s="674" t="s">
        <v>3702</v>
      </c>
      <c r="C895" s="674" t="s">
        <v>1417</v>
      </c>
      <c r="D895" s="674" t="s">
        <v>1175</v>
      </c>
      <c r="E895" s="675" t="s">
        <v>56</v>
      </c>
      <c r="F895" s="676" t="s">
        <v>4641</v>
      </c>
      <c r="G895" s="676" t="s">
        <v>4685</v>
      </c>
      <c r="H895" s="678">
        <v>67.92</v>
      </c>
    </row>
    <row r="896" spans="1:8" customFormat="1" ht="15" x14ac:dyDescent="0.25">
      <c r="A896" s="673" t="s">
        <v>4686</v>
      </c>
      <c r="B896" s="674" t="s">
        <v>3702</v>
      </c>
      <c r="C896" s="674" t="s">
        <v>1418</v>
      </c>
      <c r="D896" s="674" t="s">
        <v>1175</v>
      </c>
      <c r="E896" s="675" t="s">
        <v>56</v>
      </c>
      <c r="F896" s="676" t="s">
        <v>3711</v>
      </c>
      <c r="G896" s="676" t="s">
        <v>4687</v>
      </c>
      <c r="H896" s="678">
        <v>13500</v>
      </c>
    </row>
    <row r="897" spans="1:8" customFormat="1" ht="15" x14ac:dyDescent="0.25">
      <c r="A897" s="673" t="s">
        <v>4688</v>
      </c>
      <c r="B897" s="674" t="s">
        <v>3702</v>
      </c>
      <c r="C897" s="674" t="s">
        <v>1419</v>
      </c>
      <c r="D897" s="674" t="s">
        <v>1175</v>
      </c>
      <c r="E897" s="675" t="s">
        <v>56</v>
      </c>
      <c r="F897" s="676" t="s">
        <v>3711</v>
      </c>
      <c r="G897" s="676" t="s">
        <v>4689</v>
      </c>
      <c r="H897" s="678">
        <v>1271.0899999999999</v>
      </c>
    </row>
    <row r="898" spans="1:8" customFormat="1" ht="15" x14ac:dyDescent="0.25">
      <c r="A898" s="673" t="s">
        <v>4690</v>
      </c>
      <c r="B898" s="674" t="s">
        <v>1114</v>
      </c>
      <c r="C898" s="674" t="s">
        <v>1421</v>
      </c>
      <c r="D898" s="674" t="s">
        <v>1175</v>
      </c>
      <c r="E898" s="675" t="s">
        <v>56</v>
      </c>
      <c r="F898" s="676" t="s">
        <v>3711</v>
      </c>
      <c r="G898" s="676" t="s">
        <v>4691</v>
      </c>
      <c r="H898" s="678">
        <v>890.43</v>
      </c>
    </row>
    <row r="899" spans="1:8" customFormat="1" ht="15" x14ac:dyDescent="0.25">
      <c r="A899" s="673" t="s">
        <v>4692</v>
      </c>
      <c r="B899" s="674" t="s">
        <v>1114</v>
      </c>
      <c r="C899" s="674" t="s">
        <v>1422</v>
      </c>
      <c r="D899" s="674" t="s">
        <v>1175</v>
      </c>
      <c r="E899" s="675" t="s">
        <v>92</v>
      </c>
      <c r="F899" s="676" t="s">
        <v>4661</v>
      </c>
      <c r="G899" s="676" t="s">
        <v>3944</v>
      </c>
      <c r="H899" s="678">
        <v>31.950000000000003</v>
      </c>
    </row>
    <row r="900" spans="1:8" customFormat="1" ht="22.5" x14ac:dyDescent="0.25">
      <c r="A900" s="673" t="s">
        <v>4693</v>
      </c>
      <c r="B900" s="674" t="s">
        <v>1114</v>
      </c>
      <c r="C900" s="674" t="s">
        <v>4694</v>
      </c>
      <c r="D900" s="674" t="s">
        <v>1175</v>
      </c>
      <c r="E900" s="675" t="s">
        <v>56</v>
      </c>
      <c r="F900" s="676" t="s">
        <v>4641</v>
      </c>
      <c r="G900" s="676" t="s">
        <v>4695</v>
      </c>
      <c r="H900" s="678">
        <v>25.32</v>
      </c>
    </row>
    <row r="901" spans="1:8" customFormat="1" ht="22.5" x14ac:dyDescent="0.25">
      <c r="A901" s="673" t="s">
        <v>4696</v>
      </c>
      <c r="B901" s="674" t="s">
        <v>1114</v>
      </c>
      <c r="C901" s="674" t="s">
        <v>1423</v>
      </c>
      <c r="D901" s="674" t="s">
        <v>1175</v>
      </c>
      <c r="E901" s="675" t="s">
        <v>56</v>
      </c>
      <c r="F901" s="676" t="s">
        <v>3711</v>
      </c>
      <c r="G901" s="676" t="s">
        <v>4697</v>
      </c>
      <c r="H901" s="678">
        <v>4.8499999999999996</v>
      </c>
    </row>
    <row r="902" spans="1:8" customFormat="1" ht="22.5" x14ac:dyDescent="0.25">
      <c r="A902" s="673" t="s">
        <v>4698</v>
      </c>
      <c r="B902" s="674" t="s">
        <v>1114</v>
      </c>
      <c r="C902" s="674" t="s">
        <v>1424</v>
      </c>
      <c r="D902" s="674" t="s">
        <v>1175</v>
      </c>
      <c r="E902" s="675" t="s">
        <v>56</v>
      </c>
      <c r="F902" s="676" t="s">
        <v>3711</v>
      </c>
      <c r="G902" s="676" t="s">
        <v>4678</v>
      </c>
      <c r="H902" s="678">
        <v>5.66</v>
      </c>
    </row>
    <row r="903" spans="1:8" customFormat="1" ht="15" x14ac:dyDescent="0.25">
      <c r="A903" s="673" t="s">
        <v>4699</v>
      </c>
      <c r="B903" s="674" t="s">
        <v>3702</v>
      </c>
      <c r="C903" s="674" t="s">
        <v>1425</v>
      </c>
      <c r="D903" s="674" t="s">
        <v>1175</v>
      </c>
      <c r="E903" s="675" t="s">
        <v>56</v>
      </c>
      <c r="F903" s="676" t="s">
        <v>3826</v>
      </c>
      <c r="G903" s="676" t="s">
        <v>4700</v>
      </c>
      <c r="H903" s="678">
        <v>13.12</v>
      </c>
    </row>
    <row r="904" spans="1:8" customFormat="1" ht="15" x14ac:dyDescent="0.25">
      <c r="A904" s="673" t="s">
        <v>4701</v>
      </c>
      <c r="B904" s="674" t="s">
        <v>3702</v>
      </c>
      <c r="C904" s="674" t="s">
        <v>1426</v>
      </c>
      <c r="D904" s="674" t="s">
        <v>1175</v>
      </c>
      <c r="E904" s="675" t="s">
        <v>56</v>
      </c>
      <c r="F904" s="676" t="s">
        <v>4661</v>
      </c>
      <c r="G904" s="676" t="s">
        <v>4702</v>
      </c>
      <c r="H904" s="678">
        <v>121.10999999999999</v>
      </c>
    </row>
    <row r="905" spans="1:8" customFormat="1" ht="15" x14ac:dyDescent="0.25">
      <c r="A905" s="673" t="s">
        <v>4703</v>
      </c>
      <c r="B905" s="674" t="s">
        <v>1114</v>
      </c>
      <c r="C905" s="674" t="s">
        <v>1427</v>
      </c>
      <c r="D905" s="674" t="s">
        <v>1175</v>
      </c>
      <c r="E905" s="675" t="s">
        <v>99</v>
      </c>
      <c r="F905" s="676" t="s">
        <v>4559</v>
      </c>
      <c r="G905" s="676" t="s">
        <v>4704</v>
      </c>
      <c r="H905" s="678">
        <v>146.30000000000001</v>
      </c>
    </row>
    <row r="906" spans="1:8" customFormat="1" ht="15" x14ac:dyDescent="0.25">
      <c r="A906" s="673" t="s">
        <v>4705</v>
      </c>
      <c r="B906" s="674" t="s">
        <v>1114</v>
      </c>
      <c r="C906" s="674" t="s">
        <v>1428</v>
      </c>
      <c r="D906" s="674" t="s">
        <v>1175</v>
      </c>
      <c r="E906" s="675" t="s">
        <v>99</v>
      </c>
      <c r="F906" s="676" t="s">
        <v>3760</v>
      </c>
      <c r="G906" s="676" t="s">
        <v>4706</v>
      </c>
      <c r="H906" s="678">
        <v>509.5</v>
      </c>
    </row>
    <row r="907" spans="1:8" customFormat="1" ht="15" x14ac:dyDescent="0.25">
      <c r="A907" s="673" t="s">
        <v>4707</v>
      </c>
      <c r="B907" s="674" t="s">
        <v>3702</v>
      </c>
      <c r="C907" s="674" t="s">
        <v>1429</v>
      </c>
      <c r="D907" s="674" t="s">
        <v>1175</v>
      </c>
      <c r="E907" s="675" t="s">
        <v>56</v>
      </c>
      <c r="F907" s="676" t="s">
        <v>3733</v>
      </c>
      <c r="G907" s="676" t="s">
        <v>4708</v>
      </c>
      <c r="H907" s="678">
        <v>73.760000000000005</v>
      </c>
    </row>
    <row r="908" spans="1:8" customFormat="1" ht="22.5" x14ac:dyDescent="0.25">
      <c r="A908" s="673" t="s">
        <v>4709</v>
      </c>
      <c r="B908" s="674" t="s">
        <v>1114</v>
      </c>
      <c r="C908" s="674" t="s">
        <v>4710</v>
      </c>
      <c r="D908" s="674" t="s">
        <v>1175</v>
      </c>
      <c r="E908" s="675" t="s">
        <v>56</v>
      </c>
      <c r="F908" s="676" t="s">
        <v>3733</v>
      </c>
      <c r="G908" s="676" t="s">
        <v>4711</v>
      </c>
      <c r="H908" s="678">
        <v>220.56</v>
      </c>
    </row>
    <row r="909" spans="1:8" customFormat="1" ht="15" x14ac:dyDescent="0.25">
      <c r="A909" s="673" t="s">
        <v>4572</v>
      </c>
      <c r="B909" s="674" t="s">
        <v>3702</v>
      </c>
      <c r="C909" s="674" t="s">
        <v>1645</v>
      </c>
      <c r="D909" s="674" t="s">
        <v>1175</v>
      </c>
      <c r="E909" s="675" t="s">
        <v>99</v>
      </c>
      <c r="F909" s="676" t="s">
        <v>3826</v>
      </c>
      <c r="G909" s="676" t="s">
        <v>4574</v>
      </c>
      <c r="H909" s="678">
        <v>9.1</v>
      </c>
    </row>
    <row r="910" spans="1:8" customFormat="1" ht="15" x14ac:dyDescent="0.25">
      <c r="A910" s="673" t="s">
        <v>4712</v>
      </c>
      <c r="B910" s="674" t="s">
        <v>3702</v>
      </c>
      <c r="C910" s="674" t="s">
        <v>1430</v>
      </c>
      <c r="D910" s="674" t="s">
        <v>1175</v>
      </c>
      <c r="E910" s="675" t="s">
        <v>56</v>
      </c>
      <c r="F910" s="676" t="s">
        <v>3711</v>
      </c>
      <c r="G910" s="676" t="s">
        <v>4713</v>
      </c>
      <c r="H910" s="678">
        <v>3.2</v>
      </c>
    </row>
    <row r="911" spans="1:8" customFormat="1" ht="15" x14ac:dyDescent="0.25">
      <c r="A911" s="673" t="s">
        <v>4714</v>
      </c>
      <c r="B911" s="674" t="s">
        <v>3702</v>
      </c>
      <c r="C911" s="674" t="s">
        <v>1431</v>
      </c>
      <c r="D911" s="674" t="s">
        <v>1175</v>
      </c>
      <c r="E911" s="675" t="s">
        <v>99</v>
      </c>
      <c r="F911" s="676" t="s">
        <v>4715</v>
      </c>
      <c r="G911" s="676" t="s">
        <v>4716</v>
      </c>
      <c r="H911" s="678">
        <v>130.80000000000001</v>
      </c>
    </row>
    <row r="912" spans="1:8" customFormat="1" ht="15" x14ac:dyDescent="0.25">
      <c r="A912" s="673" t="s">
        <v>4717</v>
      </c>
      <c r="B912" s="674" t="s">
        <v>3702</v>
      </c>
      <c r="C912" s="674" t="s">
        <v>1432</v>
      </c>
      <c r="D912" s="674" t="s">
        <v>1175</v>
      </c>
      <c r="E912" s="675" t="s">
        <v>56</v>
      </c>
      <c r="F912" s="676" t="s">
        <v>4661</v>
      </c>
      <c r="G912" s="676" t="s">
        <v>4718</v>
      </c>
      <c r="H912" s="678">
        <v>36.69</v>
      </c>
    </row>
    <row r="913" spans="1:8" customFormat="1" ht="15" x14ac:dyDescent="0.25">
      <c r="A913" s="673" t="s">
        <v>4719</v>
      </c>
      <c r="B913" s="674" t="s">
        <v>3702</v>
      </c>
      <c r="C913" s="674" t="s">
        <v>1433</v>
      </c>
      <c r="D913" s="674" t="s">
        <v>1175</v>
      </c>
      <c r="E913" s="675" t="s">
        <v>56</v>
      </c>
      <c r="F913" s="676" t="s">
        <v>4661</v>
      </c>
      <c r="G913" s="676" t="s">
        <v>4720</v>
      </c>
      <c r="H913" s="678">
        <v>36.599999999999994</v>
      </c>
    </row>
    <row r="914" spans="1:8" customFormat="1" ht="22.5" x14ac:dyDescent="0.25">
      <c r="A914" s="673" t="s">
        <v>4721</v>
      </c>
      <c r="B914" s="674" t="s">
        <v>3702</v>
      </c>
      <c r="C914" s="674" t="s">
        <v>1434</v>
      </c>
      <c r="D914" s="674" t="s">
        <v>1175</v>
      </c>
      <c r="E914" s="675" t="s">
        <v>56</v>
      </c>
      <c r="F914" s="676" t="s">
        <v>4661</v>
      </c>
      <c r="G914" s="676" t="s">
        <v>4722</v>
      </c>
      <c r="H914" s="678">
        <v>111</v>
      </c>
    </row>
    <row r="915" spans="1:8" customFormat="1" ht="15" x14ac:dyDescent="0.25">
      <c r="A915" s="673" t="s">
        <v>4723</v>
      </c>
      <c r="B915" s="674" t="s">
        <v>3702</v>
      </c>
      <c r="C915" s="674" t="s">
        <v>1435</v>
      </c>
      <c r="D915" s="674" t="s">
        <v>1175</v>
      </c>
      <c r="E915" s="675" t="s">
        <v>56</v>
      </c>
      <c r="F915" s="676" t="s">
        <v>4661</v>
      </c>
      <c r="G915" s="676" t="s">
        <v>4206</v>
      </c>
      <c r="H915" s="678">
        <v>4.32</v>
      </c>
    </row>
    <row r="916" spans="1:8" customFormat="1" ht="15" x14ac:dyDescent="0.25">
      <c r="A916" s="673" t="s">
        <v>4724</v>
      </c>
      <c r="B916" s="674" t="s">
        <v>1114</v>
      </c>
      <c r="C916" s="674" t="s">
        <v>4725</v>
      </c>
      <c r="D916" s="674" t="s">
        <v>1175</v>
      </c>
      <c r="E916" s="675" t="s">
        <v>99</v>
      </c>
      <c r="F916" s="676" t="s">
        <v>4661</v>
      </c>
      <c r="G916" s="676" t="s">
        <v>4726</v>
      </c>
      <c r="H916" s="678">
        <v>2.4899999999999998</v>
      </c>
    </row>
    <row r="917" spans="1:8" customFormat="1" ht="15" x14ac:dyDescent="0.25">
      <c r="A917" s="673" t="s">
        <v>4727</v>
      </c>
      <c r="B917" s="674" t="s">
        <v>1114</v>
      </c>
      <c r="C917" s="674" t="s">
        <v>1436</v>
      </c>
      <c r="D917" s="674" t="s">
        <v>1175</v>
      </c>
      <c r="E917" s="675" t="s">
        <v>99</v>
      </c>
      <c r="F917" s="676" t="s">
        <v>4661</v>
      </c>
      <c r="G917" s="676" t="s">
        <v>4728</v>
      </c>
      <c r="H917" s="678">
        <v>4.9499999999999993</v>
      </c>
    </row>
    <row r="918" spans="1:8" customFormat="1" ht="15" x14ac:dyDescent="0.25">
      <c r="A918" s="673" t="s">
        <v>4729</v>
      </c>
      <c r="B918" s="674" t="s">
        <v>3702</v>
      </c>
      <c r="C918" s="674" t="s">
        <v>4730</v>
      </c>
      <c r="D918" s="674" t="s">
        <v>1175</v>
      </c>
      <c r="E918" s="675" t="s">
        <v>56</v>
      </c>
      <c r="F918" s="676" t="s">
        <v>4641</v>
      </c>
      <c r="G918" s="676" t="s">
        <v>4731</v>
      </c>
      <c r="H918" s="678">
        <v>1106.22</v>
      </c>
    </row>
    <row r="919" spans="1:8" customFormat="1" ht="15" x14ac:dyDescent="0.25">
      <c r="A919" s="673" t="s">
        <v>4732</v>
      </c>
      <c r="B919" s="674" t="s">
        <v>1114</v>
      </c>
      <c r="C919" s="674" t="s">
        <v>1437</v>
      </c>
      <c r="D919" s="674" t="s">
        <v>1175</v>
      </c>
      <c r="E919" s="675" t="s">
        <v>56</v>
      </c>
      <c r="F919" s="676" t="s">
        <v>3730</v>
      </c>
      <c r="G919" s="676" t="s">
        <v>4733</v>
      </c>
      <c r="H919" s="678">
        <v>18.12</v>
      </c>
    </row>
    <row r="920" spans="1:8" customFormat="1" ht="15" x14ac:dyDescent="0.25">
      <c r="A920" s="673" t="s">
        <v>4734</v>
      </c>
      <c r="B920" s="674" t="s">
        <v>1114</v>
      </c>
      <c r="C920" s="674" t="s">
        <v>1438</v>
      </c>
      <c r="D920" s="674" t="s">
        <v>1175</v>
      </c>
      <c r="E920" s="675" t="s">
        <v>56</v>
      </c>
      <c r="F920" s="676" t="s">
        <v>3730</v>
      </c>
      <c r="G920" s="676" t="s">
        <v>4735</v>
      </c>
      <c r="H920" s="678">
        <v>22.4</v>
      </c>
    </row>
    <row r="921" spans="1:8" customFormat="1" ht="22.5" x14ac:dyDescent="0.25">
      <c r="A921" s="673" t="s">
        <v>4736</v>
      </c>
      <c r="B921" s="674" t="s">
        <v>1114</v>
      </c>
      <c r="C921" s="674" t="s">
        <v>1439</v>
      </c>
      <c r="D921" s="674" t="s">
        <v>1175</v>
      </c>
      <c r="E921" s="675" t="s">
        <v>56</v>
      </c>
      <c r="F921" s="676" t="s">
        <v>3711</v>
      </c>
      <c r="G921" s="676" t="s">
        <v>4340</v>
      </c>
      <c r="H921" s="678">
        <v>1.1499999999999999</v>
      </c>
    </row>
    <row r="922" spans="1:8" customFormat="1" ht="22.5" x14ac:dyDescent="0.25">
      <c r="A922" s="673" t="s">
        <v>4737</v>
      </c>
      <c r="B922" s="674" t="s">
        <v>1114</v>
      </c>
      <c r="C922" s="674" t="s">
        <v>4738</v>
      </c>
      <c r="D922" s="674" t="s">
        <v>1175</v>
      </c>
      <c r="E922" s="675" t="s">
        <v>56</v>
      </c>
      <c r="F922" s="676" t="s">
        <v>3711</v>
      </c>
      <c r="G922" s="676" t="s">
        <v>4739</v>
      </c>
      <c r="H922" s="678">
        <v>8.6999999999999993</v>
      </c>
    </row>
    <row r="923" spans="1:8" customFormat="1" ht="15" x14ac:dyDescent="0.25">
      <c r="A923" s="673" t="s">
        <v>4740</v>
      </c>
      <c r="B923" s="674" t="s">
        <v>3702</v>
      </c>
      <c r="C923" s="674" t="s">
        <v>1440</v>
      </c>
      <c r="D923" s="674" t="s">
        <v>1175</v>
      </c>
      <c r="E923" s="675" t="s">
        <v>56</v>
      </c>
      <c r="F923" s="676" t="s">
        <v>3826</v>
      </c>
      <c r="G923" s="676" t="s">
        <v>4741</v>
      </c>
      <c r="H923" s="678">
        <v>44.12</v>
      </c>
    </row>
    <row r="924" spans="1:8" customFormat="1" ht="15" x14ac:dyDescent="0.25">
      <c r="A924" s="673" t="s">
        <v>4742</v>
      </c>
      <c r="B924" s="674" t="s">
        <v>3702</v>
      </c>
      <c r="C924" s="674" t="s">
        <v>3453</v>
      </c>
      <c r="D924" s="674" t="s">
        <v>1175</v>
      </c>
      <c r="E924" s="675" t="s">
        <v>99</v>
      </c>
      <c r="F924" s="676" t="s">
        <v>4743</v>
      </c>
      <c r="G924" s="676" t="s">
        <v>4744</v>
      </c>
      <c r="H924" s="678">
        <v>3608.8</v>
      </c>
    </row>
    <row r="925" spans="1:8" customFormat="1" ht="15" x14ac:dyDescent="0.25">
      <c r="A925" s="673" t="s">
        <v>4745</v>
      </c>
      <c r="B925" s="674" t="s">
        <v>1114</v>
      </c>
      <c r="C925" s="674" t="s">
        <v>1441</v>
      </c>
      <c r="D925" s="674" t="s">
        <v>1175</v>
      </c>
      <c r="E925" s="675" t="s">
        <v>56</v>
      </c>
      <c r="F925" s="676" t="s">
        <v>3730</v>
      </c>
      <c r="G925" s="676" t="s">
        <v>4746</v>
      </c>
      <c r="H925" s="678">
        <v>1710.64</v>
      </c>
    </row>
    <row r="926" spans="1:8" customFormat="1" ht="15" x14ac:dyDescent="0.25">
      <c r="A926" s="673" t="s">
        <v>4747</v>
      </c>
      <c r="B926" s="674" t="s">
        <v>1114</v>
      </c>
      <c r="C926" s="674" t="s">
        <v>4748</v>
      </c>
      <c r="D926" s="674" t="s">
        <v>1175</v>
      </c>
      <c r="E926" s="675" t="s">
        <v>56</v>
      </c>
      <c r="F926" s="676" t="s">
        <v>3711</v>
      </c>
      <c r="G926" s="676" t="s">
        <v>4749</v>
      </c>
      <c r="H926" s="678">
        <v>12.18</v>
      </c>
    </row>
    <row r="927" spans="1:8" customFormat="1" ht="15" x14ac:dyDescent="0.25">
      <c r="A927" s="673" t="s">
        <v>4750</v>
      </c>
      <c r="B927" s="674" t="s">
        <v>1114</v>
      </c>
      <c r="C927" s="674" t="s">
        <v>1442</v>
      </c>
      <c r="D927" s="674" t="s">
        <v>1175</v>
      </c>
      <c r="E927" s="675" t="s">
        <v>56</v>
      </c>
      <c r="F927" s="676" t="s">
        <v>4640</v>
      </c>
      <c r="G927" s="676" t="s">
        <v>4751</v>
      </c>
      <c r="H927" s="678">
        <v>151.68</v>
      </c>
    </row>
    <row r="928" spans="1:8" customFormat="1" ht="15.75" thickBot="1" x14ac:dyDescent="0.3">
      <c r="A928" s="673" t="s">
        <v>4747</v>
      </c>
      <c r="B928" s="674" t="s">
        <v>1114</v>
      </c>
      <c r="C928" s="674" t="s">
        <v>4748</v>
      </c>
      <c r="D928" s="674" t="s">
        <v>1175</v>
      </c>
      <c r="E928" s="675" t="s">
        <v>56</v>
      </c>
      <c r="F928" s="676" t="s">
        <v>4661</v>
      </c>
      <c r="G928" s="676" t="s">
        <v>4749</v>
      </c>
      <c r="H928" s="677">
        <v>36.54</v>
      </c>
    </row>
    <row r="929" spans="1:8" customFormat="1" ht="15.75" thickTop="1" x14ac:dyDescent="0.25">
      <c r="A929" s="665"/>
      <c r="B929" s="666"/>
      <c r="C929" s="666"/>
      <c r="D929" s="666"/>
      <c r="E929" s="666"/>
      <c r="F929" s="666"/>
      <c r="G929" s="666"/>
      <c r="H929" s="667"/>
    </row>
    <row r="930" spans="1:8" customFormat="1" ht="15" x14ac:dyDescent="0.25">
      <c r="A930" s="668" t="s">
        <v>3457</v>
      </c>
      <c r="B930" s="669" t="s">
        <v>3697</v>
      </c>
      <c r="C930" s="669" t="s">
        <v>3460</v>
      </c>
      <c r="D930" s="669" t="s">
        <v>3462</v>
      </c>
      <c r="E930" s="670" t="s">
        <v>69</v>
      </c>
      <c r="F930" s="671" t="s">
        <v>63</v>
      </c>
      <c r="G930" s="671" t="s">
        <v>3720</v>
      </c>
      <c r="H930" s="672" t="s">
        <v>453</v>
      </c>
    </row>
    <row r="931" spans="1:8" s="658" customFormat="1" ht="33.75" x14ac:dyDescent="0.25">
      <c r="A931" s="653" t="s">
        <v>3535</v>
      </c>
      <c r="B931" s="654" t="s">
        <v>3702</v>
      </c>
      <c r="C931" s="654" t="s">
        <v>1671</v>
      </c>
      <c r="D931" s="654" t="s">
        <v>3516</v>
      </c>
      <c r="E931" s="655" t="s">
        <v>56</v>
      </c>
      <c r="F931" s="656">
        <v>1</v>
      </c>
      <c r="G931" s="656" t="s">
        <v>4752</v>
      </c>
      <c r="H931" s="657" t="s">
        <v>4752</v>
      </c>
    </row>
    <row r="932" spans="1:8" customFormat="1" ht="15" x14ac:dyDescent="0.25">
      <c r="A932" s="659" t="s">
        <v>4567</v>
      </c>
      <c r="B932" s="660" t="s">
        <v>1114</v>
      </c>
      <c r="C932" s="660" t="s">
        <v>1362</v>
      </c>
      <c r="D932" s="660" t="s">
        <v>3502</v>
      </c>
      <c r="E932" s="661" t="s">
        <v>1116</v>
      </c>
      <c r="F932" s="662" t="s">
        <v>4753</v>
      </c>
      <c r="G932" s="662" t="s">
        <v>4568</v>
      </c>
      <c r="H932" s="663">
        <v>4.7995200000000002</v>
      </c>
    </row>
    <row r="933" spans="1:8" customFormat="1" ht="15" x14ac:dyDescent="0.25">
      <c r="A933" s="659" t="s">
        <v>4172</v>
      </c>
      <c r="B933" s="660" t="s">
        <v>1114</v>
      </c>
      <c r="C933" s="660" t="s">
        <v>1260</v>
      </c>
      <c r="D933" s="660" t="s">
        <v>3502</v>
      </c>
      <c r="E933" s="661" t="s">
        <v>1116</v>
      </c>
      <c r="F933" s="662" t="s">
        <v>4753</v>
      </c>
      <c r="G933" s="662" t="s">
        <v>4173</v>
      </c>
      <c r="H933" s="663">
        <v>5.8927439999999995</v>
      </c>
    </row>
    <row r="934" spans="1:8" customFormat="1" ht="15.75" thickBot="1" x14ac:dyDescent="0.3">
      <c r="A934" s="673" t="s">
        <v>4754</v>
      </c>
      <c r="B934" s="674" t="s">
        <v>3702</v>
      </c>
      <c r="C934" s="674" t="s">
        <v>1693</v>
      </c>
      <c r="D934" s="674" t="s">
        <v>1175</v>
      </c>
      <c r="E934" s="675" t="s">
        <v>56</v>
      </c>
      <c r="F934" s="676" t="s">
        <v>4019</v>
      </c>
      <c r="G934" s="676" t="s">
        <v>4396</v>
      </c>
      <c r="H934" s="677">
        <v>61.8765</v>
      </c>
    </row>
    <row r="935" spans="1:8" customFormat="1" ht="15.75" thickTop="1" x14ac:dyDescent="0.25">
      <c r="A935" s="665"/>
      <c r="B935" s="666"/>
      <c r="C935" s="666"/>
      <c r="D935" s="666"/>
      <c r="E935" s="666"/>
      <c r="F935" s="666"/>
      <c r="G935" s="666"/>
      <c r="H935" s="667"/>
    </row>
    <row r="936" spans="1:8" customFormat="1" ht="15" x14ac:dyDescent="0.25">
      <c r="A936" s="668" t="s">
        <v>3457</v>
      </c>
      <c r="B936" s="669" t="s">
        <v>3697</v>
      </c>
      <c r="C936" s="669" t="s">
        <v>3460</v>
      </c>
      <c r="D936" s="669" t="s">
        <v>3462</v>
      </c>
      <c r="E936" s="670" t="s">
        <v>69</v>
      </c>
      <c r="F936" s="671" t="s">
        <v>63</v>
      </c>
      <c r="G936" s="671" t="s">
        <v>3720</v>
      </c>
      <c r="H936" s="672" t="s">
        <v>453</v>
      </c>
    </row>
    <row r="937" spans="1:8" s="658" customFormat="1" ht="33.75" x14ac:dyDescent="0.25">
      <c r="A937" s="653" t="s">
        <v>3607</v>
      </c>
      <c r="B937" s="654" t="s">
        <v>3702</v>
      </c>
      <c r="C937" s="654" t="s">
        <v>2937</v>
      </c>
      <c r="D937" s="654" t="s">
        <v>3516</v>
      </c>
      <c r="E937" s="655" t="s">
        <v>56</v>
      </c>
      <c r="F937" s="656">
        <v>1</v>
      </c>
      <c r="G937" s="656" t="s">
        <v>4755</v>
      </c>
      <c r="H937" s="657" t="s">
        <v>4755</v>
      </c>
    </row>
    <row r="938" spans="1:8" customFormat="1" ht="15" x14ac:dyDescent="0.25">
      <c r="A938" s="659" t="s">
        <v>4567</v>
      </c>
      <c r="B938" s="660" t="s">
        <v>1114</v>
      </c>
      <c r="C938" s="660" t="s">
        <v>1362</v>
      </c>
      <c r="D938" s="660" t="s">
        <v>3502</v>
      </c>
      <c r="E938" s="661" t="s">
        <v>1116</v>
      </c>
      <c r="F938" s="662" t="s">
        <v>4753</v>
      </c>
      <c r="G938" s="662" t="s">
        <v>4568</v>
      </c>
      <c r="H938" s="663">
        <v>4.7995200000000002</v>
      </c>
    </row>
    <row r="939" spans="1:8" customFormat="1" ht="15" x14ac:dyDescent="0.25">
      <c r="A939" s="659" t="s">
        <v>4172</v>
      </c>
      <c r="B939" s="660" t="s">
        <v>1114</v>
      </c>
      <c r="C939" s="660" t="s">
        <v>1260</v>
      </c>
      <c r="D939" s="660" t="s">
        <v>3502</v>
      </c>
      <c r="E939" s="661" t="s">
        <v>1116</v>
      </c>
      <c r="F939" s="662" t="s">
        <v>4753</v>
      </c>
      <c r="G939" s="662" t="s">
        <v>4173</v>
      </c>
      <c r="H939" s="663">
        <v>5.8927439999999995</v>
      </c>
    </row>
    <row r="940" spans="1:8" customFormat="1" ht="15.75" thickBot="1" x14ac:dyDescent="0.3">
      <c r="A940" s="673" t="s">
        <v>4756</v>
      </c>
      <c r="B940" s="674" t="s">
        <v>1114</v>
      </c>
      <c r="C940" s="674" t="s">
        <v>4757</v>
      </c>
      <c r="D940" s="674" t="s">
        <v>1175</v>
      </c>
      <c r="E940" s="675" t="s">
        <v>56</v>
      </c>
      <c r="F940" s="676" t="s">
        <v>3711</v>
      </c>
      <c r="G940" s="676" t="s">
        <v>4758</v>
      </c>
      <c r="H940" s="677">
        <v>10.82</v>
      </c>
    </row>
    <row r="941" spans="1:8" customFormat="1" ht="15.75" thickTop="1" x14ac:dyDescent="0.25">
      <c r="A941" s="665"/>
      <c r="B941" s="666"/>
      <c r="C941" s="666"/>
      <c r="D941" s="666"/>
      <c r="E941" s="666"/>
      <c r="F941" s="666"/>
      <c r="G941" s="666"/>
      <c r="H941" s="667"/>
    </row>
    <row r="942" spans="1:8" customFormat="1" ht="15" x14ac:dyDescent="0.25">
      <c r="A942" s="668" t="s">
        <v>3457</v>
      </c>
      <c r="B942" s="669" t="s">
        <v>3697</v>
      </c>
      <c r="C942" s="669" t="s">
        <v>3460</v>
      </c>
      <c r="D942" s="669" t="s">
        <v>3462</v>
      </c>
      <c r="E942" s="670" t="s">
        <v>69</v>
      </c>
      <c r="F942" s="671" t="s">
        <v>63</v>
      </c>
      <c r="G942" s="671" t="s">
        <v>3720</v>
      </c>
      <c r="H942" s="672" t="s">
        <v>453</v>
      </c>
    </row>
    <row r="943" spans="1:8" s="658" customFormat="1" ht="33.75" x14ac:dyDescent="0.25">
      <c r="A943" s="653" t="s">
        <v>3527</v>
      </c>
      <c r="B943" s="654" t="s">
        <v>3702</v>
      </c>
      <c r="C943" s="654" t="s">
        <v>934</v>
      </c>
      <c r="D943" s="654" t="s">
        <v>3516</v>
      </c>
      <c r="E943" s="655" t="s">
        <v>56</v>
      </c>
      <c r="F943" s="656">
        <v>1</v>
      </c>
      <c r="G943" s="656" t="s">
        <v>4759</v>
      </c>
      <c r="H943" s="657" t="s">
        <v>4759</v>
      </c>
    </row>
    <row r="944" spans="1:8" customFormat="1" ht="15" x14ac:dyDescent="0.25">
      <c r="A944" s="659" t="s">
        <v>4172</v>
      </c>
      <c r="B944" s="660" t="s">
        <v>1114</v>
      </c>
      <c r="C944" s="660" t="s">
        <v>1260</v>
      </c>
      <c r="D944" s="660" t="s">
        <v>3502</v>
      </c>
      <c r="E944" s="661" t="s">
        <v>1116</v>
      </c>
      <c r="F944" s="662" t="s">
        <v>3864</v>
      </c>
      <c r="G944" s="662" t="s">
        <v>4173</v>
      </c>
      <c r="H944" s="663">
        <v>0.17680000000000001</v>
      </c>
    </row>
    <row r="945" spans="1:8" customFormat="1" ht="15.75" thickBot="1" x14ac:dyDescent="0.3">
      <c r="A945" s="673" t="s">
        <v>4760</v>
      </c>
      <c r="B945" s="674" t="s">
        <v>1114</v>
      </c>
      <c r="C945" s="674" t="s">
        <v>4761</v>
      </c>
      <c r="D945" s="674" t="s">
        <v>1175</v>
      </c>
      <c r="E945" s="675" t="s">
        <v>56</v>
      </c>
      <c r="F945" s="676" t="s">
        <v>3711</v>
      </c>
      <c r="G945" s="676" t="s">
        <v>3894</v>
      </c>
      <c r="H945" s="677">
        <v>0.09</v>
      </c>
    </row>
    <row r="946" spans="1:8" customFormat="1" ht="15.75" thickTop="1" x14ac:dyDescent="0.25">
      <c r="A946" s="665"/>
      <c r="B946" s="666"/>
      <c r="C946" s="666"/>
      <c r="D946" s="666"/>
      <c r="E946" s="666"/>
      <c r="F946" s="666"/>
      <c r="G946" s="666"/>
      <c r="H946" s="667"/>
    </row>
    <row r="947" spans="1:8" customFormat="1" ht="15" x14ac:dyDescent="0.25">
      <c r="A947" s="668" t="s">
        <v>3457</v>
      </c>
      <c r="B947" s="669" t="s">
        <v>3697</v>
      </c>
      <c r="C947" s="669" t="s">
        <v>3460</v>
      </c>
      <c r="D947" s="669" t="s">
        <v>3462</v>
      </c>
      <c r="E947" s="670" t="s">
        <v>69</v>
      </c>
      <c r="F947" s="671" t="s">
        <v>63</v>
      </c>
      <c r="G947" s="671" t="s">
        <v>3720</v>
      </c>
      <c r="H947" s="672" t="s">
        <v>453</v>
      </c>
    </row>
    <row r="948" spans="1:8" s="658" customFormat="1" ht="33.75" x14ac:dyDescent="0.25">
      <c r="A948" s="653" t="s">
        <v>3604</v>
      </c>
      <c r="B948" s="654" t="s">
        <v>3702</v>
      </c>
      <c r="C948" s="654" t="s">
        <v>2939</v>
      </c>
      <c r="D948" s="654" t="s">
        <v>3516</v>
      </c>
      <c r="E948" s="655" t="s">
        <v>56</v>
      </c>
      <c r="F948" s="656">
        <v>1</v>
      </c>
      <c r="G948" s="656" t="s">
        <v>4762</v>
      </c>
      <c r="H948" s="657" t="s">
        <v>4762</v>
      </c>
    </row>
    <row r="949" spans="1:8" customFormat="1" ht="15" x14ac:dyDescent="0.25">
      <c r="A949" s="659" t="s">
        <v>4172</v>
      </c>
      <c r="B949" s="660" t="s">
        <v>1114</v>
      </c>
      <c r="C949" s="660" t="s">
        <v>1260</v>
      </c>
      <c r="D949" s="660" t="s">
        <v>3502</v>
      </c>
      <c r="E949" s="661" t="s">
        <v>1116</v>
      </c>
      <c r="F949" s="662" t="s">
        <v>4763</v>
      </c>
      <c r="G949" s="662" t="s">
        <v>4173</v>
      </c>
      <c r="H949" s="663">
        <v>1.768</v>
      </c>
    </row>
    <row r="950" spans="1:8" customFormat="1" ht="15" x14ac:dyDescent="0.25">
      <c r="A950" s="659" t="s">
        <v>3737</v>
      </c>
      <c r="B950" s="660" t="s">
        <v>1114</v>
      </c>
      <c r="C950" s="660" t="s">
        <v>1134</v>
      </c>
      <c r="D950" s="660" t="s">
        <v>3502</v>
      </c>
      <c r="E950" s="661" t="s">
        <v>1116</v>
      </c>
      <c r="F950" s="662" t="s">
        <v>4763</v>
      </c>
      <c r="G950" s="662" t="s">
        <v>3739</v>
      </c>
      <c r="H950" s="663">
        <v>1.3880000000000001</v>
      </c>
    </row>
    <row r="951" spans="1:8" customFormat="1" ht="15.75" thickBot="1" x14ac:dyDescent="0.3">
      <c r="A951" s="673" t="s">
        <v>4764</v>
      </c>
      <c r="B951" s="674" t="s">
        <v>1114</v>
      </c>
      <c r="C951" s="674" t="s">
        <v>2558</v>
      </c>
      <c r="D951" s="674" t="s">
        <v>1175</v>
      </c>
      <c r="E951" s="675" t="s">
        <v>56</v>
      </c>
      <c r="F951" s="676" t="s">
        <v>3711</v>
      </c>
      <c r="G951" s="676" t="s">
        <v>4765</v>
      </c>
      <c r="H951" s="677">
        <v>3.27</v>
      </c>
    </row>
    <row r="952" spans="1:8" customFormat="1" ht="15.75" thickTop="1" x14ac:dyDescent="0.25">
      <c r="A952" s="665"/>
      <c r="B952" s="666"/>
      <c r="C952" s="666"/>
      <c r="D952" s="666"/>
      <c r="E952" s="666"/>
      <c r="F952" s="666"/>
      <c r="G952" s="666"/>
      <c r="H952" s="667"/>
    </row>
    <row r="953" spans="1:8" customFormat="1" ht="15" x14ac:dyDescent="0.25">
      <c r="A953" s="668" t="s">
        <v>3457</v>
      </c>
      <c r="B953" s="669" t="s">
        <v>3697</v>
      </c>
      <c r="C953" s="669" t="s">
        <v>3460</v>
      </c>
      <c r="D953" s="669" t="s">
        <v>3462</v>
      </c>
      <c r="E953" s="670" t="s">
        <v>69</v>
      </c>
      <c r="F953" s="671" t="s">
        <v>63</v>
      </c>
      <c r="G953" s="671" t="s">
        <v>3720</v>
      </c>
      <c r="H953" s="672" t="s">
        <v>453</v>
      </c>
    </row>
    <row r="954" spans="1:8" s="658" customFormat="1" ht="33.75" x14ac:dyDescent="0.25">
      <c r="A954" s="653" t="s">
        <v>3525</v>
      </c>
      <c r="B954" s="654" t="s">
        <v>3702</v>
      </c>
      <c r="C954" s="654" t="s">
        <v>933</v>
      </c>
      <c r="D954" s="654" t="s">
        <v>3516</v>
      </c>
      <c r="E954" s="655" t="s">
        <v>56</v>
      </c>
      <c r="F954" s="656">
        <v>1</v>
      </c>
      <c r="G954" s="656" t="s">
        <v>4766</v>
      </c>
      <c r="H954" s="657" t="s">
        <v>4766</v>
      </c>
    </row>
    <row r="955" spans="1:8" customFormat="1" ht="15" x14ac:dyDescent="0.25">
      <c r="A955" s="659" t="s">
        <v>4172</v>
      </c>
      <c r="B955" s="660" t="s">
        <v>1114</v>
      </c>
      <c r="C955" s="660" t="s">
        <v>1260</v>
      </c>
      <c r="D955" s="660" t="s">
        <v>3502</v>
      </c>
      <c r="E955" s="661" t="s">
        <v>1116</v>
      </c>
      <c r="F955" s="662" t="s">
        <v>3824</v>
      </c>
      <c r="G955" s="662" t="s">
        <v>4173</v>
      </c>
      <c r="H955" s="663">
        <v>5.3039999999999994</v>
      </c>
    </row>
    <row r="956" spans="1:8" customFormat="1" ht="15" x14ac:dyDescent="0.25">
      <c r="A956" s="659" t="s">
        <v>4567</v>
      </c>
      <c r="B956" s="660" t="s">
        <v>1114</v>
      </c>
      <c r="C956" s="660" t="s">
        <v>1362</v>
      </c>
      <c r="D956" s="660" t="s">
        <v>3502</v>
      </c>
      <c r="E956" s="661" t="s">
        <v>1116</v>
      </c>
      <c r="F956" s="662" t="s">
        <v>3824</v>
      </c>
      <c r="G956" s="662" t="s">
        <v>4568</v>
      </c>
      <c r="H956" s="663">
        <v>4.32</v>
      </c>
    </row>
    <row r="957" spans="1:8" customFormat="1" ht="15.75" thickBot="1" x14ac:dyDescent="0.3">
      <c r="A957" s="673" t="s">
        <v>4767</v>
      </c>
      <c r="B957" s="674" t="s">
        <v>3702</v>
      </c>
      <c r="C957" s="674" t="s">
        <v>1507</v>
      </c>
      <c r="D957" s="674" t="s">
        <v>1175</v>
      </c>
      <c r="E957" s="675" t="s">
        <v>56</v>
      </c>
      <c r="F957" s="676" t="s">
        <v>3711</v>
      </c>
      <c r="G957" s="676" t="s">
        <v>4768</v>
      </c>
      <c r="H957" s="677">
        <v>14.43</v>
      </c>
    </row>
    <row r="958" spans="1:8" customFormat="1" ht="15.75" thickTop="1" x14ac:dyDescent="0.25">
      <c r="A958" s="665"/>
      <c r="B958" s="666"/>
      <c r="C958" s="666"/>
      <c r="D958" s="666"/>
      <c r="E958" s="666"/>
      <c r="F958" s="666"/>
      <c r="G958" s="666"/>
      <c r="H958" s="667"/>
    </row>
    <row r="959" spans="1:8" customFormat="1" ht="15" x14ac:dyDescent="0.25">
      <c r="A959" s="668" t="s">
        <v>3457</v>
      </c>
      <c r="B959" s="669" t="s">
        <v>3697</v>
      </c>
      <c r="C959" s="669" t="s">
        <v>3460</v>
      </c>
      <c r="D959" s="669" t="s">
        <v>3462</v>
      </c>
      <c r="E959" s="670" t="s">
        <v>69</v>
      </c>
      <c r="F959" s="671" t="s">
        <v>63</v>
      </c>
      <c r="G959" s="671" t="s">
        <v>3720</v>
      </c>
      <c r="H959" s="672" t="s">
        <v>453</v>
      </c>
    </row>
    <row r="960" spans="1:8" s="658" customFormat="1" ht="33.75" x14ac:dyDescent="0.25">
      <c r="A960" s="653" t="s">
        <v>3515</v>
      </c>
      <c r="B960" s="654" t="s">
        <v>3702</v>
      </c>
      <c r="C960" s="654" t="s">
        <v>883</v>
      </c>
      <c r="D960" s="654" t="s">
        <v>3516</v>
      </c>
      <c r="E960" s="655" t="s">
        <v>56</v>
      </c>
      <c r="F960" s="656">
        <v>1</v>
      </c>
      <c r="G960" s="656" t="s">
        <v>4769</v>
      </c>
      <c r="H960" s="657" t="s">
        <v>4769</v>
      </c>
    </row>
    <row r="961" spans="1:8" customFormat="1" ht="15" x14ac:dyDescent="0.25">
      <c r="A961" s="659" t="s">
        <v>4567</v>
      </c>
      <c r="B961" s="660" t="s">
        <v>1114</v>
      </c>
      <c r="C961" s="660" t="s">
        <v>1362</v>
      </c>
      <c r="D961" s="660" t="s">
        <v>3502</v>
      </c>
      <c r="E961" s="661" t="s">
        <v>1116</v>
      </c>
      <c r="F961" s="662" t="s">
        <v>3952</v>
      </c>
      <c r="G961" s="662" t="s">
        <v>4568</v>
      </c>
      <c r="H961" s="663">
        <v>3.6</v>
      </c>
    </row>
    <row r="962" spans="1:8" customFormat="1" ht="23.25" thickBot="1" x14ac:dyDescent="0.3">
      <c r="A962" s="673" t="s">
        <v>4770</v>
      </c>
      <c r="B962" s="674" t="s">
        <v>1114</v>
      </c>
      <c r="C962" s="674" t="s">
        <v>1535</v>
      </c>
      <c r="D962" s="674" t="s">
        <v>1175</v>
      </c>
      <c r="E962" s="675" t="s">
        <v>56</v>
      </c>
      <c r="F962" s="676" t="s">
        <v>3711</v>
      </c>
      <c r="G962" s="676" t="s">
        <v>4113</v>
      </c>
      <c r="H962" s="677">
        <v>1.01</v>
      </c>
    </row>
    <row r="963" spans="1:8" customFormat="1" ht="15.75" thickTop="1" x14ac:dyDescent="0.25">
      <c r="A963" s="665"/>
      <c r="B963" s="666"/>
      <c r="C963" s="666"/>
      <c r="D963" s="666"/>
      <c r="E963" s="666"/>
      <c r="F963" s="666"/>
      <c r="G963" s="666"/>
      <c r="H963" s="667"/>
    </row>
    <row r="964" spans="1:8" customFormat="1" ht="15" x14ac:dyDescent="0.25">
      <c r="A964" s="668" t="s">
        <v>3457</v>
      </c>
      <c r="B964" s="669" t="s">
        <v>3697</v>
      </c>
      <c r="C964" s="669" t="s">
        <v>3460</v>
      </c>
      <c r="D964" s="669" t="s">
        <v>3462</v>
      </c>
      <c r="E964" s="670" t="s">
        <v>69</v>
      </c>
      <c r="F964" s="671" t="s">
        <v>63</v>
      </c>
      <c r="G964" s="671" t="s">
        <v>3720</v>
      </c>
      <c r="H964" s="672" t="s">
        <v>453</v>
      </c>
    </row>
    <row r="965" spans="1:8" s="658" customFormat="1" ht="33.75" x14ac:dyDescent="0.25">
      <c r="A965" s="653" t="s">
        <v>3592</v>
      </c>
      <c r="B965" s="654" t="s">
        <v>3702</v>
      </c>
      <c r="C965" s="654" t="s">
        <v>928</v>
      </c>
      <c r="D965" s="654" t="s">
        <v>3516</v>
      </c>
      <c r="E965" s="655" t="s">
        <v>56</v>
      </c>
      <c r="F965" s="656">
        <v>1</v>
      </c>
      <c r="G965" s="656" t="s">
        <v>4771</v>
      </c>
      <c r="H965" s="657" t="s">
        <v>4771</v>
      </c>
    </row>
    <row r="966" spans="1:8" customFormat="1" ht="15" x14ac:dyDescent="0.25">
      <c r="A966" s="659" t="s">
        <v>4172</v>
      </c>
      <c r="B966" s="660" t="s">
        <v>1114</v>
      </c>
      <c r="C966" s="660" t="s">
        <v>1260</v>
      </c>
      <c r="D966" s="660" t="s">
        <v>3502</v>
      </c>
      <c r="E966" s="661" t="s">
        <v>1116</v>
      </c>
      <c r="F966" s="662" t="s">
        <v>4772</v>
      </c>
      <c r="G966" s="662" t="s">
        <v>4173</v>
      </c>
      <c r="H966" s="663">
        <v>2.6519999999999997</v>
      </c>
    </row>
    <row r="967" spans="1:8" customFormat="1" ht="23.25" thickBot="1" x14ac:dyDescent="0.3">
      <c r="A967" s="673" t="s">
        <v>4773</v>
      </c>
      <c r="B967" s="674" t="s">
        <v>1114</v>
      </c>
      <c r="C967" s="674" t="s">
        <v>1501</v>
      </c>
      <c r="D967" s="674" t="s">
        <v>1175</v>
      </c>
      <c r="E967" s="675" t="s">
        <v>56</v>
      </c>
      <c r="F967" s="676" t="s">
        <v>3711</v>
      </c>
      <c r="G967" s="676" t="s">
        <v>4467</v>
      </c>
      <c r="H967" s="677">
        <v>0.46</v>
      </c>
    </row>
    <row r="968" spans="1:8" customFormat="1" ht="15.75" thickTop="1" x14ac:dyDescent="0.25">
      <c r="A968" s="665"/>
      <c r="B968" s="666"/>
      <c r="C968" s="666"/>
      <c r="D968" s="666"/>
      <c r="E968" s="666"/>
      <c r="F968" s="666"/>
      <c r="G968" s="666"/>
      <c r="H968" s="667"/>
    </row>
    <row r="969" spans="1:8" customFormat="1" ht="15" x14ac:dyDescent="0.25">
      <c r="A969" s="668" t="s">
        <v>3457</v>
      </c>
      <c r="B969" s="669" t="s">
        <v>3697</v>
      </c>
      <c r="C969" s="669" t="s">
        <v>3460</v>
      </c>
      <c r="D969" s="669" t="s">
        <v>3462</v>
      </c>
      <c r="E969" s="670" t="s">
        <v>69</v>
      </c>
      <c r="F969" s="671" t="s">
        <v>63</v>
      </c>
      <c r="G969" s="671" t="s">
        <v>3720</v>
      </c>
      <c r="H969" s="672" t="s">
        <v>453</v>
      </c>
    </row>
    <row r="970" spans="1:8" s="658" customFormat="1" ht="33.75" x14ac:dyDescent="0.25">
      <c r="A970" s="653" t="s">
        <v>3524</v>
      </c>
      <c r="B970" s="654" t="s">
        <v>3702</v>
      </c>
      <c r="C970" s="654" t="s">
        <v>2945</v>
      </c>
      <c r="D970" s="654" t="s">
        <v>3516</v>
      </c>
      <c r="E970" s="655" t="s">
        <v>56</v>
      </c>
      <c r="F970" s="656">
        <v>1</v>
      </c>
      <c r="G970" s="656" t="s">
        <v>4774</v>
      </c>
      <c r="H970" s="657" t="s">
        <v>4774</v>
      </c>
    </row>
    <row r="971" spans="1:8" customFormat="1" ht="15" x14ac:dyDescent="0.25">
      <c r="A971" s="659" t="s">
        <v>4172</v>
      </c>
      <c r="B971" s="660" t="s">
        <v>1114</v>
      </c>
      <c r="C971" s="660" t="s">
        <v>1260</v>
      </c>
      <c r="D971" s="660" t="s">
        <v>3502</v>
      </c>
      <c r="E971" s="661" t="s">
        <v>1116</v>
      </c>
      <c r="F971" s="662" t="s">
        <v>4775</v>
      </c>
      <c r="G971" s="662" t="s">
        <v>4173</v>
      </c>
      <c r="H971" s="663">
        <v>17.3264</v>
      </c>
    </row>
    <row r="972" spans="1:8" customFormat="1" ht="15" x14ac:dyDescent="0.25">
      <c r="A972" s="659" t="s">
        <v>3737</v>
      </c>
      <c r="B972" s="660" t="s">
        <v>1114</v>
      </c>
      <c r="C972" s="660" t="s">
        <v>1134</v>
      </c>
      <c r="D972" s="660" t="s">
        <v>3502</v>
      </c>
      <c r="E972" s="661" t="s">
        <v>1116</v>
      </c>
      <c r="F972" s="662" t="s">
        <v>4775</v>
      </c>
      <c r="G972" s="662" t="s">
        <v>3739</v>
      </c>
      <c r="H972" s="663">
        <v>13.602400000000001</v>
      </c>
    </row>
    <row r="973" spans="1:8" customFormat="1" ht="15" x14ac:dyDescent="0.25">
      <c r="A973" s="673" t="s">
        <v>4776</v>
      </c>
      <c r="B973" s="674" t="s">
        <v>3702</v>
      </c>
      <c r="C973" s="674" t="s">
        <v>3410</v>
      </c>
      <c r="D973" s="674" t="s">
        <v>1175</v>
      </c>
      <c r="E973" s="675" t="s">
        <v>56</v>
      </c>
      <c r="F973" s="676" t="s">
        <v>3711</v>
      </c>
      <c r="G973" s="676" t="s">
        <v>4777</v>
      </c>
      <c r="H973" s="678">
        <v>13.29</v>
      </c>
    </row>
    <row r="974" spans="1:8" customFormat="1" ht="15.75" thickBot="1" x14ac:dyDescent="0.3">
      <c r="A974" s="673" t="s">
        <v>4778</v>
      </c>
      <c r="B974" s="674" t="s">
        <v>3702</v>
      </c>
      <c r="C974" s="674" t="s">
        <v>3411</v>
      </c>
      <c r="D974" s="674" t="s">
        <v>1175</v>
      </c>
      <c r="E974" s="675" t="s">
        <v>56</v>
      </c>
      <c r="F974" s="676" t="s">
        <v>3711</v>
      </c>
      <c r="G974" s="676" t="s">
        <v>4779</v>
      </c>
      <c r="H974" s="677">
        <v>27.33</v>
      </c>
    </row>
    <row r="975" spans="1:8" customFormat="1" ht="15.75" thickTop="1" x14ac:dyDescent="0.25">
      <c r="A975" s="665"/>
      <c r="B975" s="666"/>
      <c r="C975" s="666"/>
      <c r="D975" s="666"/>
      <c r="E975" s="666"/>
      <c r="F975" s="666"/>
      <c r="G975" s="666"/>
      <c r="H975" s="667"/>
    </row>
    <row r="976" spans="1:8" customFormat="1" ht="15" x14ac:dyDescent="0.25">
      <c r="A976" s="668" t="s">
        <v>3457</v>
      </c>
      <c r="B976" s="669" t="s">
        <v>3697</v>
      </c>
      <c r="C976" s="669" t="s">
        <v>3460</v>
      </c>
      <c r="D976" s="669" t="s">
        <v>3462</v>
      </c>
      <c r="E976" s="670" t="s">
        <v>69</v>
      </c>
      <c r="F976" s="671" t="s">
        <v>63</v>
      </c>
      <c r="G976" s="671" t="s">
        <v>3720</v>
      </c>
      <c r="H976" s="672" t="s">
        <v>453</v>
      </c>
    </row>
    <row r="977" spans="1:8" s="658" customFormat="1" ht="33.75" x14ac:dyDescent="0.25">
      <c r="A977" s="653" t="s">
        <v>3529</v>
      </c>
      <c r="B977" s="654" t="s">
        <v>3702</v>
      </c>
      <c r="C977" s="654" t="s">
        <v>937</v>
      </c>
      <c r="D977" s="654" t="s">
        <v>3516</v>
      </c>
      <c r="E977" s="655" t="s">
        <v>56</v>
      </c>
      <c r="F977" s="656">
        <v>1</v>
      </c>
      <c r="G977" s="656" t="s">
        <v>4780</v>
      </c>
      <c r="H977" s="657" t="s">
        <v>4780</v>
      </c>
    </row>
    <row r="978" spans="1:8" customFormat="1" ht="15.75" thickBot="1" x14ac:dyDescent="0.3">
      <c r="A978" s="673" t="s">
        <v>4781</v>
      </c>
      <c r="B978" s="674" t="s">
        <v>3702</v>
      </c>
      <c r="C978" s="674" t="s">
        <v>4782</v>
      </c>
      <c r="D978" s="674" t="s">
        <v>1175</v>
      </c>
      <c r="E978" s="675" t="s">
        <v>56</v>
      </c>
      <c r="F978" s="676" t="s">
        <v>3711</v>
      </c>
      <c r="G978" s="676" t="s">
        <v>4780</v>
      </c>
      <c r="H978" s="677">
        <v>8.15</v>
      </c>
    </row>
    <row r="979" spans="1:8" customFormat="1" ht="15.75" thickTop="1" x14ac:dyDescent="0.25">
      <c r="A979" s="665"/>
      <c r="B979" s="666"/>
      <c r="C979" s="666"/>
      <c r="D979" s="666"/>
      <c r="E979" s="666"/>
      <c r="F979" s="666"/>
      <c r="G979" s="666"/>
      <c r="H979" s="667"/>
    </row>
    <row r="980" spans="1:8" customFormat="1" ht="15" x14ac:dyDescent="0.25">
      <c r="A980" s="668" t="s">
        <v>3457</v>
      </c>
      <c r="B980" s="669" t="s">
        <v>3697</v>
      </c>
      <c r="C980" s="669" t="s">
        <v>3460</v>
      </c>
      <c r="D980" s="669" t="s">
        <v>3462</v>
      </c>
      <c r="E980" s="670" t="s">
        <v>69</v>
      </c>
      <c r="F980" s="671" t="s">
        <v>63</v>
      </c>
      <c r="G980" s="671" t="s">
        <v>3720</v>
      </c>
      <c r="H980" s="672" t="s">
        <v>453</v>
      </c>
    </row>
    <row r="981" spans="1:8" s="658" customFormat="1" ht="33.75" x14ac:dyDescent="0.25">
      <c r="A981" s="653" t="s">
        <v>3530</v>
      </c>
      <c r="B981" s="654" t="s">
        <v>3702</v>
      </c>
      <c r="C981" s="654" t="s">
        <v>939</v>
      </c>
      <c r="D981" s="654" t="s">
        <v>3516</v>
      </c>
      <c r="E981" s="655" t="s">
        <v>56</v>
      </c>
      <c r="F981" s="656">
        <v>1</v>
      </c>
      <c r="G981" s="656" t="s">
        <v>4783</v>
      </c>
      <c r="H981" s="657" t="s">
        <v>4783</v>
      </c>
    </row>
    <row r="982" spans="1:8" customFormat="1" ht="15" x14ac:dyDescent="0.25">
      <c r="A982" s="659" t="s">
        <v>4172</v>
      </c>
      <c r="B982" s="660" t="s">
        <v>1114</v>
      </c>
      <c r="C982" s="660" t="s">
        <v>1260</v>
      </c>
      <c r="D982" s="660" t="s">
        <v>3502</v>
      </c>
      <c r="E982" s="661" t="s">
        <v>1116</v>
      </c>
      <c r="F982" s="662" t="s">
        <v>3824</v>
      </c>
      <c r="G982" s="662" t="s">
        <v>4173</v>
      </c>
      <c r="H982" s="663">
        <v>5.3039999999999994</v>
      </c>
    </row>
    <row r="983" spans="1:8" customFormat="1" ht="15" x14ac:dyDescent="0.25">
      <c r="A983" s="659" t="s">
        <v>3737</v>
      </c>
      <c r="B983" s="660" t="s">
        <v>1114</v>
      </c>
      <c r="C983" s="660" t="s">
        <v>1134</v>
      </c>
      <c r="D983" s="660" t="s">
        <v>3502</v>
      </c>
      <c r="E983" s="661" t="s">
        <v>1116</v>
      </c>
      <c r="F983" s="662" t="s">
        <v>3824</v>
      </c>
      <c r="G983" s="662" t="s">
        <v>3739</v>
      </c>
      <c r="H983" s="663">
        <v>4.1639999999999997</v>
      </c>
    </row>
    <row r="984" spans="1:8" customFormat="1" ht="15.75" thickBot="1" x14ac:dyDescent="0.3">
      <c r="A984" s="673" t="s">
        <v>4784</v>
      </c>
      <c r="B984" s="674" t="s">
        <v>3702</v>
      </c>
      <c r="C984" s="674" t="s">
        <v>1510</v>
      </c>
      <c r="D984" s="674" t="s">
        <v>1175</v>
      </c>
      <c r="E984" s="675" t="s">
        <v>56</v>
      </c>
      <c r="F984" s="676" t="s">
        <v>3711</v>
      </c>
      <c r="G984" s="676" t="s">
        <v>4785</v>
      </c>
      <c r="H984" s="677">
        <v>307.27</v>
      </c>
    </row>
    <row r="985" spans="1:8" customFormat="1" ht="15.75" thickTop="1" x14ac:dyDescent="0.25">
      <c r="A985" s="665"/>
      <c r="B985" s="666"/>
      <c r="C985" s="666"/>
      <c r="D985" s="666"/>
      <c r="E985" s="666"/>
      <c r="F985" s="666"/>
      <c r="G985" s="666"/>
      <c r="H985" s="667"/>
    </row>
    <row r="986" spans="1:8" customFormat="1" ht="15" x14ac:dyDescent="0.25">
      <c r="A986" s="668" t="s">
        <v>3457</v>
      </c>
      <c r="B986" s="669" t="s">
        <v>3697</v>
      </c>
      <c r="C986" s="669" t="s">
        <v>3460</v>
      </c>
      <c r="D986" s="669" t="s">
        <v>3462</v>
      </c>
      <c r="E986" s="670" t="s">
        <v>69</v>
      </c>
      <c r="F986" s="671" t="s">
        <v>63</v>
      </c>
      <c r="G986" s="671" t="s">
        <v>3720</v>
      </c>
      <c r="H986" s="672" t="s">
        <v>453</v>
      </c>
    </row>
    <row r="987" spans="1:8" s="658" customFormat="1" ht="33.75" x14ac:dyDescent="0.25">
      <c r="A987" s="653" t="s">
        <v>3603</v>
      </c>
      <c r="B987" s="654" t="s">
        <v>3702</v>
      </c>
      <c r="C987" s="654" t="s">
        <v>1700</v>
      </c>
      <c r="D987" s="654" t="s">
        <v>3516</v>
      </c>
      <c r="E987" s="655" t="s">
        <v>56</v>
      </c>
      <c r="F987" s="656">
        <v>1</v>
      </c>
      <c r="G987" s="656" t="s">
        <v>4786</v>
      </c>
      <c r="H987" s="657" t="s">
        <v>4786</v>
      </c>
    </row>
    <row r="988" spans="1:8" customFormat="1" ht="15" x14ac:dyDescent="0.25">
      <c r="A988" s="659" t="s">
        <v>4172</v>
      </c>
      <c r="B988" s="660" t="s">
        <v>1114</v>
      </c>
      <c r="C988" s="660" t="s">
        <v>1260</v>
      </c>
      <c r="D988" s="660" t="s">
        <v>3502</v>
      </c>
      <c r="E988" s="661" t="s">
        <v>1116</v>
      </c>
      <c r="F988" s="662" t="s">
        <v>3747</v>
      </c>
      <c r="G988" s="662" t="s">
        <v>4173</v>
      </c>
      <c r="H988" s="663">
        <v>88.4</v>
      </c>
    </row>
    <row r="989" spans="1:8" customFormat="1" ht="15" x14ac:dyDescent="0.25">
      <c r="A989" s="659" t="s">
        <v>3737</v>
      </c>
      <c r="B989" s="660" t="s">
        <v>1114</v>
      </c>
      <c r="C989" s="660" t="s">
        <v>1134</v>
      </c>
      <c r="D989" s="660" t="s">
        <v>3502</v>
      </c>
      <c r="E989" s="661" t="s">
        <v>1116</v>
      </c>
      <c r="F989" s="662" t="s">
        <v>3747</v>
      </c>
      <c r="G989" s="662" t="s">
        <v>3739</v>
      </c>
      <c r="H989" s="663">
        <v>69.400000000000006</v>
      </c>
    </row>
    <row r="990" spans="1:8" customFormat="1" ht="22.5" x14ac:dyDescent="0.25">
      <c r="A990" s="673" t="s">
        <v>4787</v>
      </c>
      <c r="B990" s="674" t="s">
        <v>1114</v>
      </c>
      <c r="C990" s="674" t="s">
        <v>1702</v>
      </c>
      <c r="D990" s="674" t="s">
        <v>1175</v>
      </c>
      <c r="E990" s="675" t="s">
        <v>56</v>
      </c>
      <c r="F990" s="676" t="s">
        <v>3711</v>
      </c>
      <c r="G990" s="676" t="s">
        <v>4788</v>
      </c>
      <c r="H990" s="678">
        <v>52.21</v>
      </c>
    </row>
    <row r="991" spans="1:8" customFormat="1" ht="22.5" x14ac:dyDescent="0.25">
      <c r="A991" s="673" t="s">
        <v>4789</v>
      </c>
      <c r="B991" s="674" t="s">
        <v>1114</v>
      </c>
      <c r="C991" s="674" t="s">
        <v>1703</v>
      </c>
      <c r="D991" s="674" t="s">
        <v>1175</v>
      </c>
      <c r="E991" s="675" t="s">
        <v>56</v>
      </c>
      <c r="F991" s="676" t="s">
        <v>3730</v>
      </c>
      <c r="G991" s="676" t="s">
        <v>4790</v>
      </c>
      <c r="H991" s="678">
        <v>1.1200000000000001</v>
      </c>
    </row>
    <row r="992" spans="1:8" customFormat="1" ht="15" x14ac:dyDescent="0.25">
      <c r="A992" s="673" t="s">
        <v>4791</v>
      </c>
      <c r="B992" s="674" t="s">
        <v>1114</v>
      </c>
      <c r="C992" s="674" t="s">
        <v>1704</v>
      </c>
      <c r="D992" s="674" t="s">
        <v>1175</v>
      </c>
      <c r="E992" s="675" t="s">
        <v>56</v>
      </c>
      <c r="F992" s="676" t="s">
        <v>4661</v>
      </c>
      <c r="G992" s="676" t="s">
        <v>4792</v>
      </c>
      <c r="H992" s="678">
        <v>11.28</v>
      </c>
    </row>
    <row r="993" spans="1:8" customFormat="1" ht="22.5" x14ac:dyDescent="0.25">
      <c r="A993" s="673" t="s">
        <v>4793</v>
      </c>
      <c r="B993" s="674" t="s">
        <v>1114</v>
      </c>
      <c r="C993" s="674" t="s">
        <v>1705</v>
      </c>
      <c r="D993" s="674" t="s">
        <v>1175</v>
      </c>
      <c r="E993" s="675" t="s">
        <v>99</v>
      </c>
      <c r="F993" s="676" t="s">
        <v>4661</v>
      </c>
      <c r="G993" s="676" t="s">
        <v>4794</v>
      </c>
      <c r="H993" s="678">
        <v>98.789999999999992</v>
      </c>
    </row>
    <row r="994" spans="1:8" customFormat="1" ht="15.75" thickBot="1" x14ac:dyDescent="0.3">
      <c r="A994" s="673" t="s">
        <v>4795</v>
      </c>
      <c r="B994" s="674" t="s">
        <v>1114</v>
      </c>
      <c r="C994" s="674" t="s">
        <v>4796</v>
      </c>
      <c r="D994" s="674" t="s">
        <v>1175</v>
      </c>
      <c r="E994" s="675" t="s">
        <v>56</v>
      </c>
      <c r="F994" s="676" t="s">
        <v>4661</v>
      </c>
      <c r="G994" s="676" t="s">
        <v>4797</v>
      </c>
      <c r="H994" s="677">
        <v>13.53</v>
      </c>
    </row>
    <row r="995" spans="1:8" customFormat="1" ht="15.75" thickTop="1" x14ac:dyDescent="0.25">
      <c r="A995" s="665"/>
      <c r="B995" s="666"/>
      <c r="C995" s="666"/>
      <c r="D995" s="666"/>
      <c r="E995" s="666"/>
      <c r="F995" s="666"/>
      <c r="G995" s="666"/>
      <c r="H995" s="667"/>
    </row>
    <row r="996" spans="1:8" customFormat="1" ht="15" x14ac:dyDescent="0.25">
      <c r="A996" s="668" t="s">
        <v>3457</v>
      </c>
      <c r="B996" s="669" t="s">
        <v>3697</v>
      </c>
      <c r="C996" s="669" t="s">
        <v>3460</v>
      </c>
      <c r="D996" s="669" t="s">
        <v>3462</v>
      </c>
      <c r="E996" s="670" t="s">
        <v>69</v>
      </c>
      <c r="F996" s="671" t="s">
        <v>63</v>
      </c>
      <c r="G996" s="671" t="s">
        <v>3720</v>
      </c>
      <c r="H996" s="672" t="s">
        <v>453</v>
      </c>
    </row>
    <row r="997" spans="1:8" s="658" customFormat="1" ht="33.75" x14ac:dyDescent="0.25">
      <c r="A997" s="653" t="s">
        <v>3606</v>
      </c>
      <c r="B997" s="654" t="s">
        <v>3702</v>
      </c>
      <c r="C997" s="654" t="s">
        <v>1706</v>
      </c>
      <c r="D997" s="654" t="s">
        <v>3516</v>
      </c>
      <c r="E997" s="655" t="s">
        <v>56</v>
      </c>
      <c r="F997" s="656">
        <v>1</v>
      </c>
      <c r="G997" s="656" t="s">
        <v>4798</v>
      </c>
      <c r="H997" s="657" t="s">
        <v>4798</v>
      </c>
    </row>
    <row r="998" spans="1:8" customFormat="1" ht="15" x14ac:dyDescent="0.25">
      <c r="A998" s="659" t="s">
        <v>4172</v>
      </c>
      <c r="B998" s="660" t="s">
        <v>1114</v>
      </c>
      <c r="C998" s="660" t="s">
        <v>1260</v>
      </c>
      <c r="D998" s="660" t="s">
        <v>3502</v>
      </c>
      <c r="E998" s="661" t="s">
        <v>1116</v>
      </c>
      <c r="F998" s="662" t="s">
        <v>3824</v>
      </c>
      <c r="G998" s="662" t="s">
        <v>4173</v>
      </c>
      <c r="H998" s="663">
        <v>5.3039999999999994</v>
      </c>
    </row>
    <row r="999" spans="1:8" customFormat="1" ht="15" x14ac:dyDescent="0.25">
      <c r="A999" s="659" t="s">
        <v>3737</v>
      </c>
      <c r="B999" s="660" t="s">
        <v>1114</v>
      </c>
      <c r="C999" s="660" t="s">
        <v>1134</v>
      </c>
      <c r="D999" s="660" t="s">
        <v>3502</v>
      </c>
      <c r="E999" s="661" t="s">
        <v>1116</v>
      </c>
      <c r="F999" s="662" t="s">
        <v>3824</v>
      </c>
      <c r="G999" s="662" t="s">
        <v>3739</v>
      </c>
      <c r="H999" s="663">
        <v>4.1639999999999997</v>
      </c>
    </row>
    <row r="1000" spans="1:8" customFormat="1" ht="15" x14ac:dyDescent="0.25">
      <c r="A1000" s="673" t="s">
        <v>4799</v>
      </c>
      <c r="B1000" s="674" t="s">
        <v>1114</v>
      </c>
      <c r="C1000" s="674" t="s">
        <v>1708</v>
      </c>
      <c r="D1000" s="674" t="s">
        <v>1175</v>
      </c>
      <c r="E1000" s="675" t="s">
        <v>56</v>
      </c>
      <c r="F1000" s="676" t="s">
        <v>3711</v>
      </c>
      <c r="G1000" s="676" t="s">
        <v>4800</v>
      </c>
      <c r="H1000" s="678">
        <v>28.2</v>
      </c>
    </row>
    <row r="1001" spans="1:8" customFormat="1" ht="15" x14ac:dyDescent="0.25">
      <c r="A1001" s="673" t="s">
        <v>4801</v>
      </c>
      <c r="B1001" s="674" t="s">
        <v>1114</v>
      </c>
      <c r="C1001" s="674" t="s">
        <v>4802</v>
      </c>
      <c r="D1001" s="674" t="s">
        <v>1175</v>
      </c>
      <c r="E1001" s="675" t="s">
        <v>56</v>
      </c>
      <c r="F1001" s="676" t="s">
        <v>3824</v>
      </c>
      <c r="G1001" s="676" t="s">
        <v>4803</v>
      </c>
      <c r="H1001" s="678">
        <v>4.1339999999999995</v>
      </c>
    </row>
    <row r="1002" spans="1:8" customFormat="1" ht="15.75" thickBot="1" x14ac:dyDescent="0.3">
      <c r="A1002" s="673" t="s">
        <v>4804</v>
      </c>
      <c r="B1002" s="674" t="s">
        <v>1114</v>
      </c>
      <c r="C1002" s="674" t="s">
        <v>1709</v>
      </c>
      <c r="D1002" s="674" t="s">
        <v>1175</v>
      </c>
      <c r="E1002" s="675" t="s">
        <v>56</v>
      </c>
      <c r="F1002" s="676" t="s">
        <v>3711</v>
      </c>
      <c r="G1002" s="676" t="s">
        <v>4805</v>
      </c>
      <c r="H1002" s="677">
        <v>7.92</v>
      </c>
    </row>
    <row r="1003" spans="1:8" customFormat="1" ht="15.75" thickTop="1" x14ac:dyDescent="0.25">
      <c r="A1003" s="665"/>
      <c r="B1003" s="666"/>
      <c r="C1003" s="666"/>
      <c r="D1003" s="666"/>
      <c r="E1003" s="666"/>
      <c r="F1003" s="666"/>
      <c r="G1003" s="666"/>
      <c r="H1003" s="667"/>
    </row>
    <row r="1004" spans="1:8" customFormat="1" ht="15" x14ac:dyDescent="0.25">
      <c r="A1004" s="668" t="s">
        <v>3457</v>
      </c>
      <c r="B1004" s="669" t="s">
        <v>3697</v>
      </c>
      <c r="C1004" s="669" t="s">
        <v>3460</v>
      </c>
      <c r="D1004" s="669" t="s">
        <v>3462</v>
      </c>
      <c r="E1004" s="670" t="s">
        <v>69</v>
      </c>
      <c r="F1004" s="671" t="s">
        <v>63</v>
      </c>
      <c r="G1004" s="671" t="s">
        <v>3720</v>
      </c>
      <c r="H1004" s="672" t="s">
        <v>453</v>
      </c>
    </row>
    <row r="1005" spans="1:8" s="658" customFormat="1" ht="22.5" x14ac:dyDescent="0.25">
      <c r="A1005" s="653" t="s">
        <v>3616</v>
      </c>
      <c r="B1005" s="654" t="s">
        <v>3702</v>
      </c>
      <c r="C1005" s="654" t="s">
        <v>885</v>
      </c>
      <c r="D1005" s="654" t="s">
        <v>3502</v>
      </c>
      <c r="E1005" s="655" t="s">
        <v>56</v>
      </c>
      <c r="F1005" s="656">
        <v>1</v>
      </c>
      <c r="G1005" s="656" t="s">
        <v>4806</v>
      </c>
      <c r="H1005" s="657" t="s">
        <v>4806</v>
      </c>
    </row>
    <row r="1006" spans="1:8" customFormat="1" ht="15" x14ac:dyDescent="0.25">
      <c r="A1006" s="659" t="s">
        <v>3735</v>
      </c>
      <c r="B1006" s="660" t="s">
        <v>1114</v>
      </c>
      <c r="C1006" s="660" t="s">
        <v>1133</v>
      </c>
      <c r="D1006" s="660" t="s">
        <v>3502</v>
      </c>
      <c r="E1006" s="661" t="s">
        <v>1116</v>
      </c>
      <c r="F1006" s="662" t="s">
        <v>3948</v>
      </c>
      <c r="G1006" s="662" t="s">
        <v>3736</v>
      </c>
      <c r="H1006" s="663">
        <v>3.4159999999999999</v>
      </c>
    </row>
    <row r="1007" spans="1:8" customFormat="1" ht="15" x14ac:dyDescent="0.25">
      <c r="A1007" s="659" t="s">
        <v>3737</v>
      </c>
      <c r="B1007" s="660" t="s">
        <v>1114</v>
      </c>
      <c r="C1007" s="660" t="s">
        <v>1134</v>
      </c>
      <c r="D1007" s="660" t="s">
        <v>3502</v>
      </c>
      <c r="E1007" s="661" t="s">
        <v>1116</v>
      </c>
      <c r="F1007" s="662" t="s">
        <v>3948</v>
      </c>
      <c r="G1007" s="662" t="s">
        <v>3739</v>
      </c>
      <c r="H1007" s="663">
        <v>2.7760000000000002</v>
      </c>
    </row>
    <row r="1008" spans="1:8" customFormat="1" ht="15.75" thickBot="1" x14ac:dyDescent="0.3">
      <c r="A1008" s="673" t="s">
        <v>4807</v>
      </c>
      <c r="B1008" s="674" t="s">
        <v>3702</v>
      </c>
      <c r="C1008" s="674" t="s">
        <v>1512</v>
      </c>
      <c r="D1008" s="674" t="s">
        <v>1175</v>
      </c>
      <c r="E1008" s="675" t="s">
        <v>56</v>
      </c>
      <c r="F1008" s="676" t="s">
        <v>3711</v>
      </c>
      <c r="G1008" s="676" t="s">
        <v>4808</v>
      </c>
      <c r="H1008" s="677">
        <v>16.440000000000001</v>
      </c>
    </row>
    <row r="1009" spans="1:8" customFormat="1" ht="15.75" thickTop="1" x14ac:dyDescent="0.25">
      <c r="A1009" s="665"/>
      <c r="B1009" s="666"/>
      <c r="C1009" s="666"/>
      <c r="D1009" s="666"/>
      <c r="E1009" s="666"/>
      <c r="F1009" s="666"/>
      <c r="G1009" s="666"/>
      <c r="H1009" s="667"/>
    </row>
    <row r="1010" spans="1:8" customFormat="1" ht="15" x14ac:dyDescent="0.25">
      <c r="A1010" s="668" t="s">
        <v>3457</v>
      </c>
      <c r="B1010" s="669" t="s">
        <v>3697</v>
      </c>
      <c r="C1010" s="669" t="s">
        <v>3460</v>
      </c>
      <c r="D1010" s="669" t="s">
        <v>3462</v>
      </c>
      <c r="E1010" s="670" t="s">
        <v>69</v>
      </c>
      <c r="F1010" s="671" t="s">
        <v>63</v>
      </c>
      <c r="G1010" s="671" t="s">
        <v>3720</v>
      </c>
      <c r="H1010" s="672" t="s">
        <v>453</v>
      </c>
    </row>
    <row r="1011" spans="1:8" s="658" customFormat="1" ht="22.5" x14ac:dyDescent="0.25">
      <c r="A1011" s="653" t="s">
        <v>3617</v>
      </c>
      <c r="B1011" s="654" t="s">
        <v>3702</v>
      </c>
      <c r="C1011" s="654" t="s">
        <v>887</v>
      </c>
      <c r="D1011" s="654" t="s">
        <v>3502</v>
      </c>
      <c r="E1011" s="655" t="s">
        <v>56</v>
      </c>
      <c r="F1011" s="656">
        <v>1</v>
      </c>
      <c r="G1011" s="656" t="s">
        <v>4809</v>
      </c>
      <c r="H1011" s="657" t="s">
        <v>4809</v>
      </c>
    </row>
    <row r="1012" spans="1:8" customFormat="1" ht="15" x14ac:dyDescent="0.25">
      <c r="A1012" s="659" t="s">
        <v>4452</v>
      </c>
      <c r="B1012" s="660" t="s">
        <v>1114</v>
      </c>
      <c r="C1012" s="660" t="s">
        <v>1270</v>
      </c>
      <c r="D1012" s="660" t="s">
        <v>3502</v>
      </c>
      <c r="E1012" s="661" t="s">
        <v>1116</v>
      </c>
      <c r="F1012" s="662" t="s">
        <v>3824</v>
      </c>
      <c r="G1012" s="662" t="s">
        <v>4453</v>
      </c>
      <c r="H1012" s="663">
        <v>4.0919999999999996</v>
      </c>
    </row>
    <row r="1013" spans="1:8" customFormat="1" ht="15" x14ac:dyDescent="0.25">
      <c r="A1013" s="659" t="s">
        <v>3735</v>
      </c>
      <c r="B1013" s="660" t="s">
        <v>1114</v>
      </c>
      <c r="C1013" s="660" t="s">
        <v>1133</v>
      </c>
      <c r="D1013" s="660" t="s">
        <v>3502</v>
      </c>
      <c r="E1013" s="661" t="s">
        <v>1116</v>
      </c>
      <c r="F1013" s="662" t="s">
        <v>3824</v>
      </c>
      <c r="G1013" s="662" t="s">
        <v>3736</v>
      </c>
      <c r="H1013" s="663">
        <v>5.1239999999999997</v>
      </c>
    </row>
    <row r="1014" spans="1:8" customFormat="1" ht="22.5" x14ac:dyDescent="0.25">
      <c r="A1014" s="673" t="s">
        <v>4810</v>
      </c>
      <c r="B1014" s="674" t="s">
        <v>1114</v>
      </c>
      <c r="C1014" s="674" t="s">
        <v>1516</v>
      </c>
      <c r="D1014" s="674" t="s">
        <v>1175</v>
      </c>
      <c r="E1014" s="675" t="s">
        <v>56</v>
      </c>
      <c r="F1014" s="676" t="s">
        <v>3826</v>
      </c>
      <c r="G1014" s="676" t="s">
        <v>4285</v>
      </c>
      <c r="H1014" s="678">
        <v>0.44</v>
      </c>
    </row>
    <row r="1015" spans="1:8" customFormat="1" ht="23.25" thickBot="1" x14ac:dyDescent="0.3">
      <c r="A1015" s="673" t="s">
        <v>4811</v>
      </c>
      <c r="B1015" s="674" t="s">
        <v>3702</v>
      </c>
      <c r="C1015" s="674" t="s">
        <v>1517</v>
      </c>
      <c r="D1015" s="674" t="s">
        <v>1175</v>
      </c>
      <c r="E1015" s="675" t="s">
        <v>56</v>
      </c>
      <c r="F1015" s="676" t="s">
        <v>3711</v>
      </c>
      <c r="G1015" s="676" t="s">
        <v>4812</v>
      </c>
      <c r="H1015" s="677">
        <v>14.87</v>
      </c>
    </row>
    <row r="1016" spans="1:8" customFormat="1" ht="15.75" thickTop="1" x14ac:dyDescent="0.25">
      <c r="A1016" s="665"/>
      <c r="B1016" s="666"/>
      <c r="C1016" s="666"/>
      <c r="D1016" s="666"/>
      <c r="E1016" s="666"/>
      <c r="F1016" s="666"/>
      <c r="G1016" s="666"/>
      <c r="H1016" s="667"/>
    </row>
    <row r="1017" spans="1:8" customFormat="1" ht="15" x14ac:dyDescent="0.25">
      <c r="A1017" s="668" t="s">
        <v>3457</v>
      </c>
      <c r="B1017" s="669" t="s">
        <v>3697</v>
      </c>
      <c r="C1017" s="669" t="s">
        <v>3460</v>
      </c>
      <c r="D1017" s="669" t="s">
        <v>3462</v>
      </c>
      <c r="E1017" s="670" t="s">
        <v>69</v>
      </c>
      <c r="F1017" s="671" t="s">
        <v>63</v>
      </c>
      <c r="G1017" s="671" t="s">
        <v>3720</v>
      </c>
      <c r="H1017" s="672" t="s">
        <v>453</v>
      </c>
    </row>
    <row r="1018" spans="1:8" s="658" customFormat="1" ht="33.75" x14ac:dyDescent="0.25">
      <c r="A1018" s="653" t="s">
        <v>3618</v>
      </c>
      <c r="B1018" s="654" t="s">
        <v>3702</v>
      </c>
      <c r="C1018" s="654" t="s">
        <v>889</v>
      </c>
      <c r="D1018" s="654" t="s">
        <v>3502</v>
      </c>
      <c r="E1018" s="655" t="s">
        <v>56</v>
      </c>
      <c r="F1018" s="656">
        <v>1</v>
      </c>
      <c r="G1018" s="656" t="s">
        <v>4813</v>
      </c>
      <c r="H1018" s="657" t="s">
        <v>4813</v>
      </c>
    </row>
    <row r="1019" spans="1:8" customFormat="1" ht="15" x14ac:dyDescent="0.25">
      <c r="A1019" s="659" t="s">
        <v>3735</v>
      </c>
      <c r="B1019" s="660" t="s">
        <v>1114</v>
      </c>
      <c r="C1019" s="660" t="s">
        <v>1133</v>
      </c>
      <c r="D1019" s="660" t="s">
        <v>3502</v>
      </c>
      <c r="E1019" s="661" t="s">
        <v>1116</v>
      </c>
      <c r="F1019" s="662" t="s">
        <v>3948</v>
      </c>
      <c r="G1019" s="662" t="s">
        <v>3736</v>
      </c>
      <c r="H1019" s="663">
        <v>3.4159999999999999</v>
      </c>
    </row>
    <row r="1020" spans="1:8" customFormat="1" ht="15" x14ac:dyDescent="0.25">
      <c r="A1020" s="659" t="s">
        <v>3737</v>
      </c>
      <c r="B1020" s="660" t="s">
        <v>1114</v>
      </c>
      <c r="C1020" s="660" t="s">
        <v>1134</v>
      </c>
      <c r="D1020" s="660" t="s">
        <v>3502</v>
      </c>
      <c r="E1020" s="661" t="s">
        <v>1116</v>
      </c>
      <c r="F1020" s="662" t="s">
        <v>3948</v>
      </c>
      <c r="G1020" s="662" t="s">
        <v>3739</v>
      </c>
      <c r="H1020" s="663">
        <v>2.7760000000000002</v>
      </c>
    </row>
    <row r="1021" spans="1:8" customFormat="1" ht="34.5" thickBot="1" x14ac:dyDescent="0.3">
      <c r="A1021" s="673" t="s">
        <v>4814</v>
      </c>
      <c r="B1021" s="674" t="s">
        <v>1114</v>
      </c>
      <c r="C1021" s="674" t="s">
        <v>889</v>
      </c>
      <c r="D1021" s="674" t="s">
        <v>1175</v>
      </c>
      <c r="E1021" s="675" t="s">
        <v>56</v>
      </c>
      <c r="F1021" s="676" t="s">
        <v>3711</v>
      </c>
      <c r="G1021" s="676" t="s">
        <v>4815</v>
      </c>
      <c r="H1021" s="677">
        <v>26.47</v>
      </c>
    </row>
    <row r="1022" spans="1:8" customFormat="1" ht="15.75" thickTop="1" x14ac:dyDescent="0.25">
      <c r="A1022" s="665"/>
      <c r="B1022" s="666"/>
      <c r="C1022" s="666"/>
      <c r="D1022" s="666"/>
      <c r="E1022" s="666"/>
      <c r="F1022" s="666"/>
      <c r="G1022" s="666"/>
      <c r="H1022" s="667"/>
    </row>
    <row r="1023" spans="1:8" customFormat="1" ht="15" x14ac:dyDescent="0.25">
      <c r="A1023" s="668" t="s">
        <v>3457</v>
      </c>
      <c r="B1023" s="669" t="s">
        <v>3697</v>
      </c>
      <c r="C1023" s="669" t="s">
        <v>3460</v>
      </c>
      <c r="D1023" s="669" t="s">
        <v>3462</v>
      </c>
      <c r="E1023" s="670" t="s">
        <v>69</v>
      </c>
      <c r="F1023" s="671" t="s">
        <v>63</v>
      </c>
      <c r="G1023" s="671" t="s">
        <v>3720</v>
      </c>
      <c r="H1023" s="672" t="s">
        <v>453</v>
      </c>
    </row>
    <row r="1024" spans="1:8" s="658" customFormat="1" ht="22.5" x14ac:dyDescent="0.25">
      <c r="A1024" s="653" t="s">
        <v>3619</v>
      </c>
      <c r="B1024" s="654" t="s">
        <v>3702</v>
      </c>
      <c r="C1024" s="654" t="s">
        <v>891</v>
      </c>
      <c r="D1024" s="654" t="s">
        <v>3599</v>
      </c>
      <c r="E1024" s="655" t="s">
        <v>56</v>
      </c>
      <c r="F1024" s="656">
        <v>1</v>
      </c>
      <c r="G1024" s="656" t="s">
        <v>4816</v>
      </c>
      <c r="H1024" s="657" t="s">
        <v>4816</v>
      </c>
    </row>
    <row r="1025" spans="1:8" customFormat="1" ht="15" x14ac:dyDescent="0.25">
      <c r="A1025" s="659" t="s">
        <v>4172</v>
      </c>
      <c r="B1025" s="660" t="s">
        <v>1114</v>
      </c>
      <c r="C1025" s="660" t="s">
        <v>1260</v>
      </c>
      <c r="D1025" s="660" t="s">
        <v>3502</v>
      </c>
      <c r="E1025" s="661" t="s">
        <v>1116</v>
      </c>
      <c r="F1025" s="662" t="s">
        <v>3902</v>
      </c>
      <c r="G1025" s="662" t="s">
        <v>4173</v>
      </c>
      <c r="H1025" s="663">
        <v>8.84</v>
      </c>
    </row>
    <row r="1026" spans="1:8" customFormat="1" ht="15" x14ac:dyDescent="0.25">
      <c r="A1026" s="659" t="s">
        <v>3737</v>
      </c>
      <c r="B1026" s="660" t="s">
        <v>1114</v>
      </c>
      <c r="C1026" s="660" t="s">
        <v>1134</v>
      </c>
      <c r="D1026" s="660" t="s">
        <v>3502</v>
      </c>
      <c r="E1026" s="661" t="s">
        <v>1116</v>
      </c>
      <c r="F1026" s="662" t="s">
        <v>3902</v>
      </c>
      <c r="G1026" s="662" t="s">
        <v>3739</v>
      </c>
      <c r="H1026" s="663">
        <v>6.94</v>
      </c>
    </row>
    <row r="1027" spans="1:8" customFormat="1" ht="15.75" thickBot="1" x14ac:dyDescent="0.3">
      <c r="A1027" s="673" t="s">
        <v>4817</v>
      </c>
      <c r="B1027" s="674" t="s">
        <v>3702</v>
      </c>
      <c r="C1027" s="674" t="s">
        <v>1525</v>
      </c>
      <c r="D1027" s="674" t="s">
        <v>1175</v>
      </c>
      <c r="E1027" s="675" t="s">
        <v>56</v>
      </c>
      <c r="F1027" s="676" t="s">
        <v>3711</v>
      </c>
      <c r="G1027" s="676" t="s">
        <v>4818</v>
      </c>
      <c r="H1027" s="677">
        <v>63.63</v>
      </c>
    </row>
    <row r="1028" spans="1:8" customFormat="1" ht="15.75" thickTop="1" x14ac:dyDescent="0.25">
      <c r="A1028" s="665"/>
      <c r="B1028" s="666"/>
      <c r="C1028" s="666"/>
      <c r="D1028" s="666"/>
      <c r="E1028" s="666"/>
      <c r="F1028" s="666"/>
      <c r="G1028" s="666"/>
      <c r="H1028" s="667"/>
    </row>
    <row r="1029" spans="1:8" customFormat="1" ht="15" x14ac:dyDescent="0.25">
      <c r="A1029" s="668" t="s">
        <v>3457</v>
      </c>
      <c r="B1029" s="669" t="s">
        <v>3697</v>
      </c>
      <c r="C1029" s="669" t="s">
        <v>3460</v>
      </c>
      <c r="D1029" s="669" t="s">
        <v>3462</v>
      </c>
      <c r="E1029" s="670" t="s">
        <v>69</v>
      </c>
      <c r="F1029" s="671" t="s">
        <v>63</v>
      </c>
      <c r="G1029" s="671" t="s">
        <v>3720</v>
      </c>
      <c r="H1029" s="672" t="s">
        <v>453</v>
      </c>
    </row>
    <row r="1030" spans="1:8" s="658" customFormat="1" ht="22.5" x14ac:dyDescent="0.25">
      <c r="A1030" s="653" t="s">
        <v>3620</v>
      </c>
      <c r="B1030" s="654" t="s">
        <v>3702</v>
      </c>
      <c r="C1030" s="654" t="s">
        <v>893</v>
      </c>
      <c r="D1030" s="654" t="s">
        <v>3599</v>
      </c>
      <c r="E1030" s="655" t="s">
        <v>56</v>
      </c>
      <c r="F1030" s="656">
        <v>1</v>
      </c>
      <c r="G1030" s="656" t="s">
        <v>4819</v>
      </c>
      <c r="H1030" s="657" t="s">
        <v>4819</v>
      </c>
    </row>
    <row r="1031" spans="1:8" customFormat="1" ht="15" x14ac:dyDescent="0.25">
      <c r="A1031" s="659" t="s">
        <v>4172</v>
      </c>
      <c r="B1031" s="660" t="s">
        <v>1114</v>
      </c>
      <c r="C1031" s="660" t="s">
        <v>1260</v>
      </c>
      <c r="D1031" s="660" t="s">
        <v>3502</v>
      </c>
      <c r="E1031" s="661" t="s">
        <v>1116</v>
      </c>
      <c r="F1031" s="662" t="s">
        <v>3996</v>
      </c>
      <c r="G1031" s="662" t="s">
        <v>4173</v>
      </c>
      <c r="H1031" s="663">
        <v>12.375999999999999</v>
      </c>
    </row>
    <row r="1032" spans="1:8" customFormat="1" ht="15" x14ac:dyDescent="0.25">
      <c r="A1032" s="659" t="s">
        <v>3737</v>
      </c>
      <c r="B1032" s="660" t="s">
        <v>1114</v>
      </c>
      <c r="C1032" s="660" t="s">
        <v>1134</v>
      </c>
      <c r="D1032" s="660" t="s">
        <v>3502</v>
      </c>
      <c r="E1032" s="661" t="s">
        <v>1116</v>
      </c>
      <c r="F1032" s="662" t="s">
        <v>3996</v>
      </c>
      <c r="G1032" s="662" t="s">
        <v>3739</v>
      </c>
      <c r="H1032" s="663">
        <v>9.7159999999999993</v>
      </c>
    </row>
    <row r="1033" spans="1:8" customFormat="1" ht="15.75" thickBot="1" x14ac:dyDescent="0.3">
      <c r="A1033" s="673" t="s">
        <v>4820</v>
      </c>
      <c r="B1033" s="674" t="s">
        <v>3702</v>
      </c>
      <c r="C1033" s="674" t="s">
        <v>1527</v>
      </c>
      <c r="D1033" s="674" t="s">
        <v>1175</v>
      </c>
      <c r="E1033" s="675" t="s">
        <v>56</v>
      </c>
      <c r="F1033" s="676" t="s">
        <v>3711</v>
      </c>
      <c r="G1033" s="676" t="s">
        <v>4821</v>
      </c>
      <c r="H1033" s="677">
        <v>20.13</v>
      </c>
    </row>
    <row r="1034" spans="1:8" customFormat="1" ht="15.75" thickTop="1" x14ac:dyDescent="0.25">
      <c r="A1034" s="665"/>
      <c r="B1034" s="666"/>
      <c r="C1034" s="666"/>
      <c r="D1034" s="666"/>
      <c r="E1034" s="666"/>
      <c r="F1034" s="666"/>
      <c r="G1034" s="666"/>
      <c r="H1034" s="667"/>
    </row>
    <row r="1035" spans="1:8" customFormat="1" ht="15" x14ac:dyDescent="0.25">
      <c r="A1035" s="668" t="s">
        <v>3457</v>
      </c>
      <c r="B1035" s="669" t="s">
        <v>3697</v>
      </c>
      <c r="C1035" s="669" t="s">
        <v>3460</v>
      </c>
      <c r="D1035" s="669" t="s">
        <v>3462</v>
      </c>
      <c r="E1035" s="670" t="s">
        <v>69</v>
      </c>
      <c r="F1035" s="671" t="s">
        <v>63</v>
      </c>
      <c r="G1035" s="671" t="s">
        <v>3720</v>
      </c>
      <c r="H1035" s="672" t="s">
        <v>453</v>
      </c>
    </row>
    <row r="1036" spans="1:8" s="658" customFormat="1" ht="22.5" x14ac:dyDescent="0.25">
      <c r="A1036" s="653" t="s">
        <v>3621</v>
      </c>
      <c r="B1036" s="654" t="s">
        <v>3702</v>
      </c>
      <c r="C1036" s="654" t="s">
        <v>895</v>
      </c>
      <c r="D1036" s="654" t="s">
        <v>3599</v>
      </c>
      <c r="E1036" s="655" t="s">
        <v>56</v>
      </c>
      <c r="F1036" s="656">
        <v>1</v>
      </c>
      <c r="G1036" s="656" t="s">
        <v>4822</v>
      </c>
      <c r="H1036" s="657" t="s">
        <v>4822</v>
      </c>
    </row>
    <row r="1037" spans="1:8" customFormat="1" ht="15" x14ac:dyDescent="0.25">
      <c r="A1037" s="659" t="s">
        <v>4172</v>
      </c>
      <c r="B1037" s="660" t="s">
        <v>1114</v>
      </c>
      <c r="C1037" s="660" t="s">
        <v>1260</v>
      </c>
      <c r="D1037" s="660" t="s">
        <v>3502</v>
      </c>
      <c r="E1037" s="661" t="s">
        <v>1116</v>
      </c>
      <c r="F1037" s="662" t="s">
        <v>3711</v>
      </c>
      <c r="G1037" s="662" t="s">
        <v>4173</v>
      </c>
      <c r="H1037" s="663">
        <v>17.68</v>
      </c>
    </row>
    <row r="1038" spans="1:8" customFormat="1" ht="15.75" thickBot="1" x14ac:dyDescent="0.3">
      <c r="A1038" s="673" t="s">
        <v>4823</v>
      </c>
      <c r="B1038" s="674" t="s">
        <v>3702</v>
      </c>
      <c r="C1038" s="674" t="s">
        <v>1530</v>
      </c>
      <c r="D1038" s="674" t="s">
        <v>1175</v>
      </c>
      <c r="E1038" s="675" t="s">
        <v>56</v>
      </c>
      <c r="F1038" s="676" t="s">
        <v>3711</v>
      </c>
      <c r="G1038" s="676" t="s">
        <v>4824</v>
      </c>
      <c r="H1038" s="677">
        <v>578.96</v>
      </c>
    </row>
    <row r="1039" spans="1:8" customFormat="1" ht="15.75" thickTop="1" x14ac:dyDescent="0.25">
      <c r="A1039" s="665"/>
      <c r="B1039" s="666"/>
      <c r="C1039" s="666"/>
      <c r="D1039" s="666"/>
      <c r="E1039" s="666"/>
      <c r="F1039" s="666"/>
      <c r="G1039" s="666"/>
      <c r="H1039" s="667"/>
    </row>
    <row r="1040" spans="1:8" customFormat="1" ht="15" x14ac:dyDescent="0.25">
      <c r="A1040" s="668" t="s">
        <v>3457</v>
      </c>
      <c r="B1040" s="669" t="s">
        <v>3697</v>
      </c>
      <c r="C1040" s="669" t="s">
        <v>3460</v>
      </c>
      <c r="D1040" s="669" t="s">
        <v>3462</v>
      </c>
      <c r="E1040" s="670" t="s">
        <v>69</v>
      </c>
      <c r="F1040" s="671" t="s">
        <v>63</v>
      </c>
      <c r="G1040" s="671" t="s">
        <v>3720</v>
      </c>
      <c r="H1040" s="672" t="s">
        <v>453</v>
      </c>
    </row>
    <row r="1041" spans="1:8" s="658" customFormat="1" ht="22.5" x14ac:dyDescent="0.25">
      <c r="A1041" s="653" t="s">
        <v>3622</v>
      </c>
      <c r="B1041" s="654" t="s">
        <v>3702</v>
      </c>
      <c r="C1041" s="654" t="s">
        <v>897</v>
      </c>
      <c r="D1041" s="654" t="s">
        <v>3599</v>
      </c>
      <c r="E1041" s="655" t="s">
        <v>56</v>
      </c>
      <c r="F1041" s="656">
        <v>1</v>
      </c>
      <c r="G1041" s="656" t="s">
        <v>4825</v>
      </c>
      <c r="H1041" s="657" t="s">
        <v>4825</v>
      </c>
    </row>
    <row r="1042" spans="1:8" customFormat="1" ht="15" x14ac:dyDescent="0.25">
      <c r="A1042" s="659" t="s">
        <v>4172</v>
      </c>
      <c r="B1042" s="660" t="s">
        <v>1114</v>
      </c>
      <c r="C1042" s="660" t="s">
        <v>1260</v>
      </c>
      <c r="D1042" s="660" t="s">
        <v>3502</v>
      </c>
      <c r="E1042" s="661" t="s">
        <v>1116</v>
      </c>
      <c r="F1042" s="662" t="s">
        <v>4641</v>
      </c>
      <c r="G1042" s="662" t="s">
        <v>4173</v>
      </c>
      <c r="H1042" s="663">
        <v>106.08</v>
      </c>
    </row>
    <row r="1043" spans="1:8" customFormat="1" ht="15.75" thickBot="1" x14ac:dyDescent="0.3">
      <c r="A1043" s="673" t="s">
        <v>4826</v>
      </c>
      <c r="B1043" s="674" t="s">
        <v>3702</v>
      </c>
      <c r="C1043" s="674" t="s">
        <v>1532</v>
      </c>
      <c r="D1043" s="674" t="s">
        <v>1175</v>
      </c>
      <c r="E1043" s="675" t="s">
        <v>56</v>
      </c>
      <c r="F1043" s="676" t="s">
        <v>3711</v>
      </c>
      <c r="G1043" s="676" t="s">
        <v>4827</v>
      </c>
      <c r="H1043" s="677">
        <v>121.71</v>
      </c>
    </row>
    <row r="1044" spans="1:8" customFormat="1" ht="15.75" thickTop="1" x14ac:dyDescent="0.25">
      <c r="A1044" s="665"/>
      <c r="B1044" s="666"/>
      <c r="C1044" s="666"/>
      <c r="D1044" s="666"/>
      <c r="E1044" s="666"/>
      <c r="F1044" s="666"/>
      <c r="G1044" s="666"/>
      <c r="H1044" s="667"/>
    </row>
    <row r="1045" spans="1:8" customFormat="1" ht="15" x14ac:dyDescent="0.25">
      <c r="A1045" s="668" t="s">
        <v>3457</v>
      </c>
      <c r="B1045" s="669" t="s">
        <v>3697</v>
      </c>
      <c r="C1045" s="669" t="s">
        <v>3460</v>
      </c>
      <c r="D1045" s="669" t="s">
        <v>3462</v>
      </c>
      <c r="E1045" s="670" t="s">
        <v>69</v>
      </c>
      <c r="F1045" s="671" t="s">
        <v>63</v>
      </c>
      <c r="G1045" s="671" t="s">
        <v>3720</v>
      </c>
      <c r="H1045" s="672" t="s">
        <v>453</v>
      </c>
    </row>
    <row r="1046" spans="1:8" s="658" customFormat="1" ht="33.75" x14ac:dyDescent="0.25">
      <c r="A1046" s="653" t="s">
        <v>4828</v>
      </c>
      <c r="B1046" s="654" t="s">
        <v>3702</v>
      </c>
      <c r="C1046" s="654" t="s">
        <v>3289</v>
      </c>
      <c r="D1046" s="654" t="s">
        <v>3516</v>
      </c>
      <c r="E1046" s="655" t="s">
        <v>99</v>
      </c>
      <c r="F1046" s="656">
        <v>1</v>
      </c>
      <c r="G1046" s="656" t="s">
        <v>4829</v>
      </c>
      <c r="H1046" s="657" t="s">
        <v>4829</v>
      </c>
    </row>
    <row r="1047" spans="1:8" customFormat="1" ht="15" x14ac:dyDescent="0.25">
      <c r="A1047" s="659" t="s">
        <v>4172</v>
      </c>
      <c r="B1047" s="660" t="s">
        <v>1114</v>
      </c>
      <c r="C1047" s="660" t="s">
        <v>1260</v>
      </c>
      <c r="D1047" s="660" t="s">
        <v>3502</v>
      </c>
      <c r="E1047" s="661" t="s">
        <v>1116</v>
      </c>
      <c r="F1047" s="662" t="s">
        <v>3824</v>
      </c>
      <c r="G1047" s="662" t="s">
        <v>4173</v>
      </c>
      <c r="H1047" s="663">
        <v>5.3039999999999994</v>
      </c>
    </row>
    <row r="1048" spans="1:8" customFormat="1" ht="15" x14ac:dyDescent="0.25">
      <c r="A1048" s="659" t="s">
        <v>4567</v>
      </c>
      <c r="B1048" s="660" t="s">
        <v>1114</v>
      </c>
      <c r="C1048" s="660" t="s">
        <v>1362</v>
      </c>
      <c r="D1048" s="660" t="s">
        <v>3502</v>
      </c>
      <c r="E1048" s="661" t="s">
        <v>1116</v>
      </c>
      <c r="F1048" s="662" t="s">
        <v>3824</v>
      </c>
      <c r="G1048" s="662" t="s">
        <v>4568</v>
      </c>
      <c r="H1048" s="663">
        <v>4.32</v>
      </c>
    </row>
    <row r="1049" spans="1:8" customFormat="1" ht="15.75" thickBot="1" x14ac:dyDescent="0.3">
      <c r="A1049" s="673" t="s">
        <v>4830</v>
      </c>
      <c r="B1049" s="674" t="s">
        <v>3702</v>
      </c>
      <c r="C1049" s="674" t="s">
        <v>4831</v>
      </c>
      <c r="D1049" s="674" t="s">
        <v>1175</v>
      </c>
      <c r="E1049" s="675" t="s">
        <v>56</v>
      </c>
      <c r="F1049" s="676" t="s">
        <v>3810</v>
      </c>
      <c r="G1049" s="676" t="s">
        <v>4832</v>
      </c>
      <c r="H1049" s="677">
        <v>4.7530000000000001</v>
      </c>
    </row>
    <row r="1050" spans="1:8" customFormat="1" ht="15.75" thickTop="1" x14ac:dyDescent="0.25">
      <c r="A1050" s="665"/>
      <c r="B1050" s="666"/>
      <c r="C1050" s="666"/>
      <c r="D1050" s="666"/>
      <c r="E1050" s="666"/>
      <c r="F1050" s="666"/>
      <c r="G1050" s="666"/>
      <c r="H1050" s="667"/>
    </row>
    <row r="1051" spans="1:8" customFormat="1" ht="15" x14ac:dyDescent="0.25">
      <c r="A1051" s="668" t="s">
        <v>3457</v>
      </c>
      <c r="B1051" s="669" t="s">
        <v>3697</v>
      </c>
      <c r="C1051" s="669" t="s">
        <v>3460</v>
      </c>
      <c r="D1051" s="669" t="s">
        <v>3462</v>
      </c>
      <c r="E1051" s="670" t="s">
        <v>69</v>
      </c>
      <c r="F1051" s="671" t="s">
        <v>63</v>
      </c>
      <c r="G1051" s="671" t="s">
        <v>3720</v>
      </c>
      <c r="H1051" s="672" t="s">
        <v>453</v>
      </c>
    </row>
    <row r="1052" spans="1:8" s="658" customFormat="1" ht="33.75" x14ac:dyDescent="0.25">
      <c r="A1052" s="653" t="s">
        <v>4833</v>
      </c>
      <c r="B1052" s="654" t="s">
        <v>3702</v>
      </c>
      <c r="C1052" s="654" t="s">
        <v>3208</v>
      </c>
      <c r="D1052" s="654" t="s">
        <v>3516</v>
      </c>
      <c r="E1052" s="655" t="s">
        <v>99</v>
      </c>
      <c r="F1052" s="656">
        <v>1</v>
      </c>
      <c r="G1052" s="656" t="s">
        <v>4834</v>
      </c>
      <c r="H1052" s="657" t="s">
        <v>4834</v>
      </c>
    </row>
    <row r="1053" spans="1:8" customFormat="1" ht="15" x14ac:dyDescent="0.25">
      <c r="A1053" s="659" t="s">
        <v>4172</v>
      </c>
      <c r="B1053" s="660" t="s">
        <v>1114</v>
      </c>
      <c r="C1053" s="660" t="s">
        <v>1260</v>
      </c>
      <c r="D1053" s="660" t="s">
        <v>3502</v>
      </c>
      <c r="E1053" s="661" t="s">
        <v>1116</v>
      </c>
      <c r="F1053" s="662" t="s">
        <v>3946</v>
      </c>
      <c r="G1053" s="662" t="s">
        <v>4173</v>
      </c>
      <c r="H1053" s="663">
        <v>7.0720000000000001</v>
      </c>
    </row>
    <row r="1054" spans="1:8" customFormat="1" ht="15" x14ac:dyDescent="0.25">
      <c r="A1054" s="659" t="s">
        <v>4567</v>
      </c>
      <c r="B1054" s="660" t="s">
        <v>1114</v>
      </c>
      <c r="C1054" s="660" t="s">
        <v>1362</v>
      </c>
      <c r="D1054" s="660" t="s">
        <v>3502</v>
      </c>
      <c r="E1054" s="661" t="s">
        <v>1116</v>
      </c>
      <c r="F1054" s="662" t="s">
        <v>3946</v>
      </c>
      <c r="G1054" s="662" t="s">
        <v>4568</v>
      </c>
      <c r="H1054" s="663">
        <v>5.7600000000000007</v>
      </c>
    </row>
    <row r="1055" spans="1:8" customFormat="1" ht="15.75" thickBot="1" x14ac:dyDescent="0.3">
      <c r="A1055" s="673" t="s">
        <v>4835</v>
      </c>
      <c r="B1055" s="674" t="s">
        <v>3702</v>
      </c>
      <c r="C1055" s="674" t="s">
        <v>3652</v>
      </c>
      <c r="D1055" s="674" t="s">
        <v>1175</v>
      </c>
      <c r="E1055" s="675" t="s">
        <v>56</v>
      </c>
      <c r="F1055" s="676" t="s">
        <v>3810</v>
      </c>
      <c r="G1055" s="676" t="s">
        <v>4836</v>
      </c>
      <c r="H1055" s="677">
        <v>6.0795000000000003</v>
      </c>
    </row>
    <row r="1056" spans="1:8" customFormat="1" ht="15.75" thickTop="1" x14ac:dyDescent="0.25">
      <c r="A1056" s="665"/>
      <c r="B1056" s="666"/>
      <c r="C1056" s="666"/>
      <c r="D1056" s="666"/>
      <c r="E1056" s="666"/>
      <c r="F1056" s="666"/>
      <c r="G1056" s="666"/>
      <c r="H1056" s="667"/>
    </row>
    <row r="1057" spans="1:8" customFormat="1" ht="15" x14ac:dyDescent="0.25">
      <c r="A1057" s="668" t="s">
        <v>3457</v>
      </c>
      <c r="B1057" s="669" t="s">
        <v>3697</v>
      </c>
      <c r="C1057" s="669" t="s">
        <v>3460</v>
      </c>
      <c r="D1057" s="669" t="s">
        <v>3462</v>
      </c>
      <c r="E1057" s="670" t="s">
        <v>69</v>
      </c>
      <c r="F1057" s="671" t="s">
        <v>63</v>
      </c>
      <c r="G1057" s="671" t="s">
        <v>3720</v>
      </c>
      <c r="H1057" s="672" t="s">
        <v>453</v>
      </c>
    </row>
    <row r="1058" spans="1:8" s="658" customFormat="1" ht="33.75" x14ac:dyDescent="0.25">
      <c r="A1058" s="653" t="s">
        <v>4837</v>
      </c>
      <c r="B1058" s="654" t="s">
        <v>3702</v>
      </c>
      <c r="C1058" s="654" t="s">
        <v>3210</v>
      </c>
      <c r="D1058" s="654" t="s">
        <v>3516</v>
      </c>
      <c r="E1058" s="655" t="s">
        <v>56</v>
      </c>
      <c r="F1058" s="656">
        <v>1</v>
      </c>
      <c r="G1058" s="656" t="s">
        <v>4838</v>
      </c>
      <c r="H1058" s="657" t="s">
        <v>4838</v>
      </c>
    </row>
    <row r="1059" spans="1:8" customFormat="1" ht="15" x14ac:dyDescent="0.25">
      <c r="A1059" s="659" t="s">
        <v>4172</v>
      </c>
      <c r="B1059" s="660" t="s">
        <v>1114</v>
      </c>
      <c r="C1059" s="660" t="s">
        <v>1260</v>
      </c>
      <c r="D1059" s="660" t="s">
        <v>3502</v>
      </c>
      <c r="E1059" s="661" t="s">
        <v>1116</v>
      </c>
      <c r="F1059" s="662" t="s">
        <v>4763</v>
      </c>
      <c r="G1059" s="662" t="s">
        <v>4173</v>
      </c>
      <c r="H1059" s="663">
        <v>1.768</v>
      </c>
    </row>
    <row r="1060" spans="1:8" customFormat="1" ht="15" x14ac:dyDescent="0.25">
      <c r="A1060" s="659" t="s">
        <v>4567</v>
      </c>
      <c r="B1060" s="660" t="s">
        <v>1114</v>
      </c>
      <c r="C1060" s="660" t="s">
        <v>1362</v>
      </c>
      <c r="D1060" s="660" t="s">
        <v>3502</v>
      </c>
      <c r="E1060" s="661" t="s">
        <v>1116</v>
      </c>
      <c r="F1060" s="662" t="s">
        <v>4384</v>
      </c>
      <c r="G1060" s="662" t="s">
        <v>4568</v>
      </c>
      <c r="H1060" s="663">
        <v>0.72000000000000008</v>
      </c>
    </row>
    <row r="1061" spans="1:8" customFormat="1" ht="15.75" thickBot="1" x14ac:dyDescent="0.3">
      <c r="A1061" s="673" t="s">
        <v>4839</v>
      </c>
      <c r="B1061" s="674" t="s">
        <v>3702</v>
      </c>
      <c r="C1061" s="674" t="s">
        <v>3210</v>
      </c>
      <c r="D1061" s="674" t="s">
        <v>1175</v>
      </c>
      <c r="E1061" s="675" t="s">
        <v>56</v>
      </c>
      <c r="F1061" s="676" t="s">
        <v>3711</v>
      </c>
      <c r="G1061" s="676" t="s">
        <v>4283</v>
      </c>
      <c r="H1061" s="677">
        <v>1.52</v>
      </c>
    </row>
    <row r="1062" spans="1:8" customFormat="1" ht="15.75" thickTop="1" x14ac:dyDescent="0.25">
      <c r="A1062" s="665"/>
      <c r="B1062" s="666"/>
      <c r="C1062" s="666"/>
      <c r="D1062" s="666"/>
      <c r="E1062" s="666"/>
      <c r="F1062" s="666"/>
      <c r="G1062" s="666"/>
      <c r="H1062" s="667"/>
    </row>
    <row r="1063" spans="1:8" customFormat="1" ht="15" x14ac:dyDescent="0.25">
      <c r="A1063" s="668" t="s">
        <v>3457</v>
      </c>
      <c r="B1063" s="669" t="s">
        <v>3697</v>
      </c>
      <c r="C1063" s="669" t="s">
        <v>3460</v>
      </c>
      <c r="D1063" s="669" t="s">
        <v>3462</v>
      </c>
      <c r="E1063" s="670" t="s">
        <v>69</v>
      </c>
      <c r="F1063" s="671" t="s">
        <v>63</v>
      </c>
      <c r="G1063" s="671" t="s">
        <v>3720</v>
      </c>
      <c r="H1063" s="672" t="s">
        <v>453</v>
      </c>
    </row>
    <row r="1064" spans="1:8" s="658" customFormat="1" ht="33.75" x14ac:dyDescent="0.25">
      <c r="A1064" s="653" t="s">
        <v>4840</v>
      </c>
      <c r="B1064" s="654" t="s">
        <v>3702</v>
      </c>
      <c r="C1064" s="654" t="s">
        <v>3212</v>
      </c>
      <c r="D1064" s="654" t="s">
        <v>3516</v>
      </c>
      <c r="E1064" s="655" t="s">
        <v>56</v>
      </c>
      <c r="F1064" s="656">
        <v>1</v>
      </c>
      <c r="G1064" s="656" t="s">
        <v>4841</v>
      </c>
      <c r="H1064" s="657" t="s">
        <v>4841</v>
      </c>
    </row>
    <row r="1065" spans="1:8" customFormat="1" ht="15" x14ac:dyDescent="0.25">
      <c r="A1065" s="659" t="s">
        <v>4172</v>
      </c>
      <c r="B1065" s="660" t="s">
        <v>1114</v>
      </c>
      <c r="C1065" s="660" t="s">
        <v>1260</v>
      </c>
      <c r="D1065" s="660" t="s">
        <v>3502</v>
      </c>
      <c r="E1065" s="661" t="s">
        <v>1116</v>
      </c>
      <c r="F1065" s="662" t="s">
        <v>4763</v>
      </c>
      <c r="G1065" s="662" t="s">
        <v>4173</v>
      </c>
      <c r="H1065" s="663">
        <v>1.768</v>
      </c>
    </row>
    <row r="1066" spans="1:8" customFormat="1" ht="15" x14ac:dyDescent="0.25">
      <c r="A1066" s="659" t="s">
        <v>4567</v>
      </c>
      <c r="B1066" s="660" t="s">
        <v>1114</v>
      </c>
      <c r="C1066" s="660" t="s">
        <v>1362</v>
      </c>
      <c r="D1066" s="660" t="s">
        <v>3502</v>
      </c>
      <c r="E1066" s="661" t="s">
        <v>1116</v>
      </c>
      <c r="F1066" s="662" t="s">
        <v>4384</v>
      </c>
      <c r="G1066" s="662" t="s">
        <v>4568</v>
      </c>
      <c r="H1066" s="663">
        <v>0.72000000000000008</v>
      </c>
    </row>
    <row r="1067" spans="1:8" customFormat="1" ht="15.75" thickBot="1" x14ac:dyDescent="0.3">
      <c r="A1067" s="673" t="s">
        <v>4842</v>
      </c>
      <c r="B1067" s="674" t="s">
        <v>3702</v>
      </c>
      <c r="C1067" s="674" t="s">
        <v>3212</v>
      </c>
      <c r="D1067" s="674" t="s">
        <v>1175</v>
      </c>
      <c r="E1067" s="675" t="s">
        <v>56</v>
      </c>
      <c r="F1067" s="676" t="s">
        <v>3711</v>
      </c>
      <c r="G1067" s="676" t="s">
        <v>4728</v>
      </c>
      <c r="H1067" s="677">
        <v>1.65</v>
      </c>
    </row>
    <row r="1068" spans="1:8" customFormat="1" ht="15.75" thickTop="1" x14ac:dyDescent="0.25">
      <c r="A1068" s="665"/>
      <c r="B1068" s="666"/>
      <c r="C1068" s="666"/>
      <c r="D1068" s="666"/>
      <c r="E1068" s="666"/>
      <c r="F1068" s="666"/>
      <c r="G1068" s="666"/>
      <c r="H1068" s="667"/>
    </row>
    <row r="1069" spans="1:8" customFormat="1" ht="15" x14ac:dyDescent="0.25">
      <c r="A1069" s="668" t="s">
        <v>3457</v>
      </c>
      <c r="B1069" s="669" t="s">
        <v>3697</v>
      </c>
      <c r="C1069" s="669" t="s">
        <v>3460</v>
      </c>
      <c r="D1069" s="669" t="s">
        <v>3462</v>
      </c>
      <c r="E1069" s="670" t="s">
        <v>69</v>
      </c>
      <c r="F1069" s="671" t="s">
        <v>63</v>
      </c>
      <c r="G1069" s="671" t="s">
        <v>3720</v>
      </c>
      <c r="H1069" s="672" t="s">
        <v>453</v>
      </c>
    </row>
    <row r="1070" spans="1:8" s="658" customFormat="1" ht="33.75" x14ac:dyDescent="0.25">
      <c r="A1070" s="653" t="s">
        <v>4843</v>
      </c>
      <c r="B1070" s="654" t="s">
        <v>3702</v>
      </c>
      <c r="C1070" s="654" t="s">
        <v>3214</v>
      </c>
      <c r="D1070" s="654" t="s">
        <v>3516</v>
      </c>
      <c r="E1070" s="655" t="s">
        <v>56</v>
      </c>
      <c r="F1070" s="656">
        <v>1</v>
      </c>
      <c r="G1070" s="656" t="s">
        <v>4844</v>
      </c>
      <c r="H1070" s="657" t="s">
        <v>4844</v>
      </c>
    </row>
    <row r="1071" spans="1:8" customFormat="1" ht="15" x14ac:dyDescent="0.25">
      <c r="A1071" s="659" t="s">
        <v>4172</v>
      </c>
      <c r="B1071" s="660" t="s">
        <v>1114</v>
      </c>
      <c r="C1071" s="660" t="s">
        <v>1260</v>
      </c>
      <c r="D1071" s="660" t="s">
        <v>3502</v>
      </c>
      <c r="E1071" s="661" t="s">
        <v>1116</v>
      </c>
      <c r="F1071" s="662" t="s">
        <v>3946</v>
      </c>
      <c r="G1071" s="662" t="s">
        <v>4173</v>
      </c>
      <c r="H1071" s="663">
        <v>7.0720000000000001</v>
      </c>
    </row>
    <row r="1072" spans="1:8" customFormat="1" ht="15" x14ac:dyDescent="0.25">
      <c r="A1072" s="659" t="s">
        <v>4567</v>
      </c>
      <c r="B1072" s="660" t="s">
        <v>1114</v>
      </c>
      <c r="C1072" s="660" t="s">
        <v>1362</v>
      </c>
      <c r="D1072" s="660" t="s">
        <v>3502</v>
      </c>
      <c r="E1072" s="661" t="s">
        <v>1116</v>
      </c>
      <c r="F1072" s="662" t="s">
        <v>3948</v>
      </c>
      <c r="G1072" s="662" t="s">
        <v>4568</v>
      </c>
      <c r="H1072" s="663">
        <v>2.8800000000000003</v>
      </c>
    </row>
    <row r="1073" spans="1:8" customFormat="1" ht="15.75" thickBot="1" x14ac:dyDescent="0.3">
      <c r="A1073" s="673" t="s">
        <v>4845</v>
      </c>
      <c r="B1073" s="674" t="s">
        <v>3702</v>
      </c>
      <c r="C1073" s="674" t="s">
        <v>3214</v>
      </c>
      <c r="D1073" s="674" t="s">
        <v>1175</v>
      </c>
      <c r="E1073" s="675" t="s">
        <v>4492</v>
      </c>
      <c r="F1073" s="676" t="s">
        <v>3711</v>
      </c>
      <c r="G1073" s="676" t="s">
        <v>4492</v>
      </c>
      <c r="H1073" s="677">
        <v>4.47</v>
      </c>
    </row>
    <row r="1074" spans="1:8" customFormat="1" ht="15.75" thickTop="1" x14ac:dyDescent="0.25">
      <c r="A1074" s="665"/>
      <c r="B1074" s="666"/>
      <c r="C1074" s="666"/>
      <c r="D1074" s="666"/>
      <c r="E1074" s="666"/>
      <c r="F1074" s="666"/>
      <c r="G1074" s="666"/>
      <c r="H1074" s="667"/>
    </row>
    <row r="1075" spans="1:8" customFormat="1" ht="15" x14ac:dyDescent="0.25">
      <c r="A1075" s="668" t="s">
        <v>3457</v>
      </c>
      <c r="B1075" s="669" t="s">
        <v>3697</v>
      </c>
      <c r="C1075" s="669" t="s">
        <v>3460</v>
      </c>
      <c r="D1075" s="669" t="s">
        <v>3462</v>
      </c>
      <c r="E1075" s="670" t="s">
        <v>69</v>
      </c>
      <c r="F1075" s="671" t="s">
        <v>63</v>
      </c>
      <c r="G1075" s="671" t="s">
        <v>3720</v>
      </c>
      <c r="H1075" s="672" t="s">
        <v>453</v>
      </c>
    </row>
    <row r="1076" spans="1:8" s="658" customFormat="1" ht="33.75" x14ac:dyDescent="0.25">
      <c r="A1076" s="653" t="s">
        <v>3519</v>
      </c>
      <c r="B1076" s="654" t="s">
        <v>3702</v>
      </c>
      <c r="C1076" s="654" t="s">
        <v>1633</v>
      </c>
      <c r="D1076" s="654" t="s">
        <v>3516</v>
      </c>
      <c r="E1076" s="655" t="s">
        <v>56</v>
      </c>
      <c r="F1076" s="656">
        <v>1</v>
      </c>
      <c r="G1076" s="656" t="s">
        <v>4846</v>
      </c>
      <c r="H1076" s="657" t="s">
        <v>4846</v>
      </c>
    </row>
    <row r="1077" spans="1:8" customFormat="1" ht="15" x14ac:dyDescent="0.25">
      <c r="A1077" s="659" t="s">
        <v>4172</v>
      </c>
      <c r="B1077" s="660" t="s">
        <v>1114</v>
      </c>
      <c r="C1077" s="660" t="s">
        <v>1260</v>
      </c>
      <c r="D1077" s="660" t="s">
        <v>3502</v>
      </c>
      <c r="E1077" s="661" t="s">
        <v>1116</v>
      </c>
      <c r="F1077" s="662" t="s">
        <v>3824</v>
      </c>
      <c r="G1077" s="662" t="s">
        <v>4173</v>
      </c>
      <c r="H1077" s="663">
        <v>5.3039999999999994</v>
      </c>
    </row>
    <row r="1078" spans="1:8" customFormat="1" ht="15" x14ac:dyDescent="0.25">
      <c r="A1078" s="659" t="s">
        <v>4567</v>
      </c>
      <c r="B1078" s="660" t="s">
        <v>1114</v>
      </c>
      <c r="C1078" s="660" t="s">
        <v>1362</v>
      </c>
      <c r="D1078" s="660" t="s">
        <v>3502</v>
      </c>
      <c r="E1078" s="661" t="s">
        <v>1116</v>
      </c>
      <c r="F1078" s="662" t="s">
        <v>3824</v>
      </c>
      <c r="G1078" s="662" t="s">
        <v>4568</v>
      </c>
      <c r="H1078" s="663">
        <v>4.32</v>
      </c>
    </row>
    <row r="1079" spans="1:8" customFormat="1" ht="23.25" thickBot="1" x14ac:dyDescent="0.3">
      <c r="A1079" s="673" t="s">
        <v>4847</v>
      </c>
      <c r="B1079" s="674" t="s">
        <v>1114</v>
      </c>
      <c r="C1079" s="674" t="s">
        <v>1563</v>
      </c>
      <c r="D1079" s="674" t="s">
        <v>1175</v>
      </c>
      <c r="E1079" s="675" t="s">
        <v>56</v>
      </c>
      <c r="F1079" s="676" t="s">
        <v>3711</v>
      </c>
      <c r="G1079" s="676" t="s">
        <v>4848</v>
      </c>
      <c r="H1079" s="677">
        <v>16.13</v>
      </c>
    </row>
    <row r="1080" spans="1:8" customFormat="1" ht="15.75" thickTop="1" x14ac:dyDescent="0.25">
      <c r="A1080" s="665"/>
      <c r="B1080" s="666"/>
      <c r="C1080" s="666"/>
      <c r="D1080" s="666"/>
      <c r="E1080" s="666"/>
      <c r="F1080" s="666"/>
      <c r="G1080" s="666"/>
      <c r="H1080" s="667"/>
    </row>
    <row r="1081" spans="1:8" customFormat="1" ht="15" x14ac:dyDescent="0.25">
      <c r="A1081" s="668" t="s">
        <v>3457</v>
      </c>
      <c r="B1081" s="669" t="s">
        <v>3697</v>
      </c>
      <c r="C1081" s="669" t="s">
        <v>3460</v>
      </c>
      <c r="D1081" s="669" t="s">
        <v>3462</v>
      </c>
      <c r="E1081" s="670" t="s">
        <v>69</v>
      </c>
      <c r="F1081" s="671" t="s">
        <v>63</v>
      </c>
      <c r="G1081" s="671" t="s">
        <v>3720</v>
      </c>
      <c r="H1081" s="672" t="s">
        <v>453</v>
      </c>
    </row>
    <row r="1082" spans="1:8" s="658" customFormat="1" ht="33.75" x14ac:dyDescent="0.25">
      <c r="A1082" s="653" t="s">
        <v>3623</v>
      </c>
      <c r="B1082" s="654" t="s">
        <v>3702</v>
      </c>
      <c r="C1082" s="654" t="s">
        <v>901</v>
      </c>
      <c r="D1082" s="654" t="s">
        <v>3599</v>
      </c>
      <c r="E1082" s="655" t="s">
        <v>56</v>
      </c>
      <c r="F1082" s="656">
        <v>1</v>
      </c>
      <c r="G1082" s="656" t="s">
        <v>4706</v>
      </c>
      <c r="H1082" s="657" t="s">
        <v>4706</v>
      </c>
    </row>
    <row r="1083" spans="1:8" customFormat="1" ht="15" x14ac:dyDescent="0.25">
      <c r="A1083" s="659" t="s">
        <v>3735</v>
      </c>
      <c r="B1083" s="660" t="s">
        <v>1114</v>
      </c>
      <c r="C1083" s="660" t="s">
        <v>1133</v>
      </c>
      <c r="D1083" s="660" t="s">
        <v>3502</v>
      </c>
      <c r="E1083" s="661" t="s">
        <v>1116</v>
      </c>
      <c r="F1083" s="662" t="s">
        <v>3948</v>
      </c>
      <c r="G1083" s="662" t="s">
        <v>3736</v>
      </c>
      <c r="H1083" s="663">
        <v>3.4159999999999999</v>
      </c>
    </row>
    <row r="1084" spans="1:8" customFormat="1" ht="15" x14ac:dyDescent="0.25">
      <c r="A1084" s="659" t="s">
        <v>3737</v>
      </c>
      <c r="B1084" s="660" t="s">
        <v>1114</v>
      </c>
      <c r="C1084" s="660" t="s">
        <v>1134</v>
      </c>
      <c r="D1084" s="660" t="s">
        <v>3502</v>
      </c>
      <c r="E1084" s="661" t="s">
        <v>1116</v>
      </c>
      <c r="F1084" s="662" t="s">
        <v>3948</v>
      </c>
      <c r="G1084" s="662" t="s">
        <v>3739</v>
      </c>
      <c r="H1084" s="663">
        <v>2.7760000000000002</v>
      </c>
    </row>
    <row r="1085" spans="1:8" customFormat="1" ht="34.5" thickBot="1" x14ac:dyDescent="0.3">
      <c r="A1085" s="673" t="s">
        <v>4849</v>
      </c>
      <c r="B1085" s="674" t="s">
        <v>1114</v>
      </c>
      <c r="C1085" s="674" t="s">
        <v>901</v>
      </c>
      <c r="D1085" s="674" t="s">
        <v>1175</v>
      </c>
      <c r="E1085" s="675" t="s">
        <v>56</v>
      </c>
      <c r="F1085" s="676" t="s">
        <v>3711</v>
      </c>
      <c r="G1085" s="676" t="s">
        <v>4850</v>
      </c>
      <c r="H1085" s="677">
        <v>14.2</v>
      </c>
    </row>
    <row r="1086" spans="1:8" customFormat="1" ht="15.75" thickTop="1" x14ac:dyDescent="0.25">
      <c r="A1086" s="665"/>
      <c r="B1086" s="666"/>
      <c r="C1086" s="666"/>
      <c r="D1086" s="666"/>
      <c r="E1086" s="666"/>
      <c r="F1086" s="666"/>
      <c r="G1086" s="666"/>
      <c r="H1086" s="667"/>
    </row>
    <row r="1087" spans="1:8" customFormat="1" ht="15" x14ac:dyDescent="0.25">
      <c r="A1087" s="668" t="s">
        <v>3457</v>
      </c>
      <c r="B1087" s="669" t="s">
        <v>3697</v>
      </c>
      <c r="C1087" s="669" t="s">
        <v>3460</v>
      </c>
      <c r="D1087" s="669" t="s">
        <v>3462</v>
      </c>
      <c r="E1087" s="670" t="s">
        <v>69</v>
      </c>
      <c r="F1087" s="671" t="s">
        <v>63</v>
      </c>
      <c r="G1087" s="671" t="s">
        <v>3720</v>
      </c>
      <c r="H1087" s="672" t="s">
        <v>453</v>
      </c>
    </row>
    <row r="1088" spans="1:8" s="658" customFormat="1" ht="33.75" x14ac:dyDescent="0.25">
      <c r="A1088" s="653" t="s">
        <v>3649</v>
      </c>
      <c r="B1088" s="654" t="s">
        <v>3702</v>
      </c>
      <c r="C1088" s="654" t="s">
        <v>917</v>
      </c>
      <c r="D1088" s="654" t="s">
        <v>3516</v>
      </c>
      <c r="E1088" s="655" t="s">
        <v>56</v>
      </c>
      <c r="F1088" s="656">
        <v>1</v>
      </c>
      <c r="G1088" s="656" t="s">
        <v>4024</v>
      </c>
      <c r="H1088" s="657" t="s">
        <v>4024</v>
      </c>
    </row>
    <row r="1089" spans="1:8" customFormat="1" ht="15" x14ac:dyDescent="0.25">
      <c r="A1089" s="659" t="s">
        <v>4172</v>
      </c>
      <c r="B1089" s="660" t="s">
        <v>1114</v>
      </c>
      <c r="C1089" s="660" t="s">
        <v>1260</v>
      </c>
      <c r="D1089" s="660" t="s">
        <v>3502</v>
      </c>
      <c r="E1089" s="661" t="s">
        <v>1116</v>
      </c>
      <c r="F1089" s="662" t="s">
        <v>3861</v>
      </c>
      <c r="G1089" s="662" t="s">
        <v>4173</v>
      </c>
      <c r="H1089" s="663">
        <v>1.0608</v>
      </c>
    </row>
    <row r="1090" spans="1:8" customFormat="1" ht="15" x14ac:dyDescent="0.25">
      <c r="A1090" s="659" t="s">
        <v>4567</v>
      </c>
      <c r="B1090" s="660" t="s">
        <v>1114</v>
      </c>
      <c r="C1090" s="660" t="s">
        <v>1362</v>
      </c>
      <c r="D1090" s="660" t="s">
        <v>3502</v>
      </c>
      <c r="E1090" s="661" t="s">
        <v>1116</v>
      </c>
      <c r="F1090" s="662" t="s">
        <v>3861</v>
      </c>
      <c r="G1090" s="662" t="s">
        <v>4568</v>
      </c>
      <c r="H1090" s="663">
        <v>0.86399999999999999</v>
      </c>
    </row>
    <row r="1091" spans="1:8" customFormat="1" ht="15.75" thickBot="1" x14ac:dyDescent="0.3">
      <c r="A1091" s="673" t="s">
        <v>4851</v>
      </c>
      <c r="B1091" s="674" t="s">
        <v>1114</v>
      </c>
      <c r="C1091" s="674" t="s">
        <v>917</v>
      </c>
      <c r="D1091" s="674" t="s">
        <v>1175</v>
      </c>
      <c r="E1091" s="675" t="s">
        <v>56</v>
      </c>
      <c r="F1091" s="676" t="s">
        <v>3711</v>
      </c>
      <c r="G1091" s="676" t="s">
        <v>4852</v>
      </c>
      <c r="H1091" s="677">
        <v>1.61</v>
      </c>
    </row>
    <row r="1092" spans="1:8" customFormat="1" ht="15.75" thickTop="1" x14ac:dyDescent="0.25">
      <c r="A1092" s="665"/>
      <c r="B1092" s="666"/>
      <c r="C1092" s="666"/>
      <c r="D1092" s="666"/>
      <c r="E1092" s="666"/>
      <c r="F1092" s="666"/>
      <c r="G1092" s="666"/>
      <c r="H1092" s="667"/>
    </row>
    <row r="1093" spans="1:8" customFormat="1" ht="15" x14ac:dyDescent="0.25">
      <c r="A1093" s="668" t="s">
        <v>3457</v>
      </c>
      <c r="B1093" s="669" t="s">
        <v>3697</v>
      </c>
      <c r="C1093" s="669" t="s">
        <v>3460</v>
      </c>
      <c r="D1093" s="669" t="s">
        <v>3462</v>
      </c>
      <c r="E1093" s="670" t="s">
        <v>69</v>
      </c>
      <c r="F1093" s="671" t="s">
        <v>63</v>
      </c>
      <c r="G1093" s="671" t="s">
        <v>3720</v>
      </c>
      <c r="H1093" s="672" t="s">
        <v>453</v>
      </c>
    </row>
    <row r="1094" spans="1:8" s="658" customFormat="1" ht="33.75" x14ac:dyDescent="0.25">
      <c r="A1094" s="653" t="s">
        <v>4853</v>
      </c>
      <c r="B1094" s="654" t="s">
        <v>3702</v>
      </c>
      <c r="C1094" s="654" t="s">
        <v>3293</v>
      </c>
      <c r="D1094" s="654" t="s">
        <v>3516</v>
      </c>
      <c r="E1094" s="655" t="s">
        <v>56</v>
      </c>
      <c r="F1094" s="656">
        <v>1</v>
      </c>
      <c r="G1094" s="656" t="s">
        <v>4838</v>
      </c>
      <c r="H1094" s="657" t="s">
        <v>4838</v>
      </c>
    </row>
    <row r="1095" spans="1:8" customFormat="1" ht="15" x14ac:dyDescent="0.25">
      <c r="A1095" s="659" t="s">
        <v>4172</v>
      </c>
      <c r="B1095" s="660" t="s">
        <v>1114</v>
      </c>
      <c r="C1095" s="660" t="s">
        <v>1260</v>
      </c>
      <c r="D1095" s="660" t="s">
        <v>3502</v>
      </c>
      <c r="E1095" s="661" t="s">
        <v>1116</v>
      </c>
      <c r="F1095" s="662" t="s">
        <v>4763</v>
      </c>
      <c r="G1095" s="662" t="s">
        <v>4173</v>
      </c>
      <c r="H1095" s="663">
        <v>1.768</v>
      </c>
    </row>
    <row r="1096" spans="1:8" customFormat="1" ht="15.75" thickBot="1" x14ac:dyDescent="0.3">
      <c r="A1096" s="673" t="s">
        <v>4854</v>
      </c>
      <c r="B1096" s="674" t="s">
        <v>3702</v>
      </c>
      <c r="C1096" s="674" t="s">
        <v>3413</v>
      </c>
      <c r="D1096" s="674" t="s">
        <v>1175</v>
      </c>
      <c r="E1096" s="675" t="s">
        <v>56</v>
      </c>
      <c r="F1096" s="676" t="s">
        <v>3711</v>
      </c>
      <c r="G1096" s="676" t="s">
        <v>4268</v>
      </c>
      <c r="H1096" s="677">
        <v>2.2400000000000002</v>
      </c>
    </row>
    <row r="1097" spans="1:8" customFormat="1" ht="15.75" thickTop="1" x14ac:dyDescent="0.25">
      <c r="A1097" s="665"/>
      <c r="B1097" s="666"/>
      <c r="C1097" s="666"/>
      <c r="D1097" s="666"/>
      <c r="E1097" s="666"/>
      <c r="F1097" s="666"/>
      <c r="G1097" s="666"/>
      <c r="H1097" s="667"/>
    </row>
    <row r="1098" spans="1:8" customFormat="1" ht="15" x14ac:dyDescent="0.25">
      <c r="A1098" s="668" t="s">
        <v>3457</v>
      </c>
      <c r="B1098" s="669" t="s">
        <v>3697</v>
      </c>
      <c r="C1098" s="669" t="s">
        <v>3460</v>
      </c>
      <c r="D1098" s="669" t="s">
        <v>3462</v>
      </c>
      <c r="E1098" s="670" t="s">
        <v>69</v>
      </c>
      <c r="F1098" s="671" t="s">
        <v>63</v>
      </c>
      <c r="G1098" s="671" t="s">
        <v>3720</v>
      </c>
      <c r="H1098" s="672" t="s">
        <v>453</v>
      </c>
    </row>
    <row r="1099" spans="1:8" s="658" customFormat="1" ht="33.75" x14ac:dyDescent="0.25">
      <c r="A1099" s="653" t="s">
        <v>4855</v>
      </c>
      <c r="B1099" s="654" t="s">
        <v>3702</v>
      </c>
      <c r="C1099" s="654" t="s">
        <v>3295</v>
      </c>
      <c r="D1099" s="654" t="s">
        <v>3516</v>
      </c>
      <c r="E1099" s="655" t="s">
        <v>56</v>
      </c>
      <c r="F1099" s="656">
        <v>1</v>
      </c>
      <c r="G1099" s="656" t="s">
        <v>4856</v>
      </c>
      <c r="H1099" s="657" t="s">
        <v>4856</v>
      </c>
    </row>
    <row r="1100" spans="1:8" customFormat="1" ht="15" x14ac:dyDescent="0.25">
      <c r="A1100" s="659" t="s">
        <v>4172</v>
      </c>
      <c r="B1100" s="660" t="s">
        <v>1114</v>
      </c>
      <c r="C1100" s="660" t="s">
        <v>1260</v>
      </c>
      <c r="D1100" s="660" t="s">
        <v>3502</v>
      </c>
      <c r="E1100" s="661" t="s">
        <v>1116</v>
      </c>
      <c r="F1100" s="662" t="s">
        <v>4763</v>
      </c>
      <c r="G1100" s="662" t="s">
        <v>4173</v>
      </c>
      <c r="H1100" s="663">
        <v>1.768</v>
      </c>
    </row>
    <row r="1101" spans="1:8" customFormat="1" ht="15.75" thickBot="1" x14ac:dyDescent="0.3">
      <c r="A1101" s="673" t="s">
        <v>4857</v>
      </c>
      <c r="B1101" s="674" t="s">
        <v>3702</v>
      </c>
      <c r="C1101" s="674" t="s">
        <v>4858</v>
      </c>
      <c r="D1101" s="674" t="s">
        <v>1175</v>
      </c>
      <c r="E1101" s="675" t="s">
        <v>56</v>
      </c>
      <c r="F1101" s="676" t="s">
        <v>4626</v>
      </c>
      <c r="G1101" s="676" t="s">
        <v>4859</v>
      </c>
      <c r="H1101" s="677">
        <v>2.0503</v>
      </c>
    </row>
    <row r="1102" spans="1:8" customFormat="1" ht="15.75" thickTop="1" x14ac:dyDescent="0.25">
      <c r="A1102" s="665"/>
      <c r="B1102" s="666"/>
      <c r="C1102" s="666"/>
      <c r="D1102" s="666"/>
      <c r="E1102" s="666"/>
      <c r="F1102" s="666"/>
      <c r="G1102" s="666"/>
      <c r="H1102" s="667"/>
    </row>
    <row r="1103" spans="1:8" customFormat="1" ht="15" x14ac:dyDescent="0.25">
      <c r="A1103" s="668" t="s">
        <v>3457</v>
      </c>
      <c r="B1103" s="669" t="s">
        <v>3697</v>
      </c>
      <c r="C1103" s="669" t="s">
        <v>3460</v>
      </c>
      <c r="D1103" s="669" t="s">
        <v>3462</v>
      </c>
      <c r="E1103" s="670" t="s">
        <v>69</v>
      </c>
      <c r="F1103" s="671" t="s">
        <v>63</v>
      </c>
      <c r="G1103" s="671" t="s">
        <v>3720</v>
      </c>
      <c r="H1103" s="672" t="s">
        <v>453</v>
      </c>
    </row>
    <row r="1104" spans="1:8" s="658" customFormat="1" ht="22.5" x14ac:dyDescent="0.25">
      <c r="A1104" s="653" t="s">
        <v>3692</v>
      </c>
      <c r="B1104" s="654" t="s">
        <v>3702</v>
      </c>
      <c r="C1104" s="654" t="s">
        <v>3307</v>
      </c>
      <c r="D1104" s="654" t="s">
        <v>3599</v>
      </c>
      <c r="E1104" s="655" t="s">
        <v>56</v>
      </c>
      <c r="F1104" s="656">
        <v>1</v>
      </c>
      <c r="G1104" s="656" t="s">
        <v>4860</v>
      </c>
      <c r="H1104" s="657" t="s">
        <v>4860</v>
      </c>
    </row>
    <row r="1105" spans="1:8" customFormat="1" ht="15" x14ac:dyDescent="0.25">
      <c r="A1105" s="659" t="s">
        <v>3732</v>
      </c>
      <c r="B1105" s="660" t="s">
        <v>1114</v>
      </c>
      <c r="C1105" s="660" t="s">
        <v>1287</v>
      </c>
      <c r="D1105" s="660" t="s">
        <v>3502</v>
      </c>
      <c r="E1105" s="661" t="s">
        <v>1116</v>
      </c>
      <c r="F1105" s="662" t="s">
        <v>4340</v>
      </c>
      <c r="G1105" s="662" t="s">
        <v>3734</v>
      </c>
      <c r="H1105" s="663">
        <v>20.102</v>
      </c>
    </row>
    <row r="1106" spans="1:8" customFormat="1" ht="15" x14ac:dyDescent="0.25">
      <c r="A1106" s="659" t="s">
        <v>3737</v>
      </c>
      <c r="B1106" s="660" t="s">
        <v>1114</v>
      </c>
      <c r="C1106" s="660" t="s">
        <v>1134</v>
      </c>
      <c r="D1106" s="660" t="s">
        <v>3502</v>
      </c>
      <c r="E1106" s="661" t="s">
        <v>1116</v>
      </c>
      <c r="F1106" s="662" t="s">
        <v>4340</v>
      </c>
      <c r="G1106" s="662" t="s">
        <v>3739</v>
      </c>
      <c r="H1106" s="663">
        <v>15.962</v>
      </c>
    </row>
    <row r="1107" spans="1:8" customFormat="1" ht="15" x14ac:dyDescent="0.25">
      <c r="A1107" s="673" t="s">
        <v>4426</v>
      </c>
      <c r="B1107" s="674" t="s">
        <v>1114</v>
      </c>
      <c r="C1107" s="674" t="s">
        <v>1300</v>
      </c>
      <c r="D1107" s="674" t="s">
        <v>1175</v>
      </c>
      <c r="E1107" s="675" t="s">
        <v>56</v>
      </c>
      <c r="F1107" s="676" t="s">
        <v>4861</v>
      </c>
      <c r="G1107" s="676" t="s">
        <v>4427</v>
      </c>
      <c r="H1107" s="678">
        <v>0.78677999999999992</v>
      </c>
    </row>
    <row r="1108" spans="1:8" customFormat="1" ht="22.5" x14ac:dyDescent="0.25">
      <c r="A1108" s="673" t="s">
        <v>4862</v>
      </c>
      <c r="B1108" s="674" t="s">
        <v>1114</v>
      </c>
      <c r="C1108" s="674" t="s">
        <v>1653</v>
      </c>
      <c r="D1108" s="674" t="s">
        <v>1175</v>
      </c>
      <c r="E1108" s="675" t="s">
        <v>56</v>
      </c>
      <c r="F1108" s="676" t="s">
        <v>3711</v>
      </c>
      <c r="G1108" s="676" t="s">
        <v>4863</v>
      </c>
      <c r="H1108" s="678">
        <v>65.989999999999995</v>
      </c>
    </row>
    <row r="1109" spans="1:8" customFormat="1" ht="23.25" thickBot="1" x14ac:dyDescent="0.3">
      <c r="A1109" s="673" t="s">
        <v>4864</v>
      </c>
      <c r="B1109" s="674" t="s">
        <v>1114</v>
      </c>
      <c r="C1109" s="674" t="s">
        <v>4865</v>
      </c>
      <c r="D1109" s="674" t="s">
        <v>1175</v>
      </c>
      <c r="E1109" s="675" t="s">
        <v>56</v>
      </c>
      <c r="F1109" s="676" t="s">
        <v>3711</v>
      </c>
      <c r="G1109" s="676" t="s">
        <v>4866</v>
      </c>
      <c r="H1109" s="677">
        <v>110.39</v>
      </c>
    </row>
    <row r="1110" spans="1:8" customFormat="1" ht="15.75" thickTop="1" x14ac:dyDescent="0.25">
      <c r="A1110" s="665"/>
      <c r="B1110" s="666"/>
      <c r="C1110" s="666"/>
      <c r="D1110" s="666"/>
      <c r="E1110" s="666"/>
      <c r="F1110" s="666"/>
      <c r="G1110" s="666"/>
      <c r="H1110" s="667"/>
    </row>
    <row r="1111" spans="1:8" customFormat="1" ht="15" x14ac:dyDescent="0.25">
      <c r="A1111" s="668" t="s">
        <v>3457</v>
      </c>
      <c r="B1111" s="669" t="s">
        <v>3697</v>
      </c>
      <c r="C1111" s="669" t="s">
        <v>3460</v>
      </c>
      <c r="D1111" s="669" t="s">
        <v>3462</v>
      </c>
      <c r="E1111" s="670" t="s">
        <v>69</v>
      </c>
      <c r="F1111" s="671" t="s">
        <v>63</v>
      </c>
      <c r="G1111" s="671" t="s">
        <v>3720</v>
      </c>
      <c r="H1111" s="672" t="s">
        <v>453</v>
      </c>
    </row>
    <row r="1112" spans="1:8" s="658" customFormat="1" ht="22.5" x14ac:dyDescent="0.25">
      <c r="A1112" s="653" t="s">
        <v>4867</v>
      </c>
      <c r="B1112" s="654" t="s">
        <v>3702</v>
      </c>
      <c r="C1112" s="654" t="s">
        <v>3309</v>
      </c>
      <c r="D1112" s="654" t="s">
        <v>3599</v>
      </c>
      <c r="E1112" s="655" t="s">
        <v>56</v>
      </c>
      <c r="F1112" s="656">
        <v>1</v>
      </c>
      <c r="G1112" s="656" t="s">
        <v>4868</v>
      </c>
      <c r="H1112" s="657" t="s">
        <v>4868</v>
      </c>
    </row>
    <row r="1113" spans="1:8" customFormat="1" ht="15" x14ac:dyDescent="0.25">
      <c r="A1113" s="659" t="s">
        <v>3732</v>
      </c>
      <c r="B1113" s="660" t="s">
        <v>1114</v>
      </c>
      <c r="C1113" s="660" t="s">
        <v>1287</v>
      </c>
      <c r="D1113" s="660" t="s">
        <v>3502</v>
      </c>
      <c r="E1113" s="661" t="s">
        <v>1116</v>
      </c>
      <c r="F1113" s="662" t="s">
        <v>4340</v>
      </c>
      <c r="G1113" s="662" t="s">
        <v>3734</v>
      </c>
      <c r="H1113" s="663">
        <v>20.102</v>
      </c>
    </row>
    <row r="1114" spans="1:8" customFormat="1" ht="15" x14ac:dyDescent="0.25">
      <c r="A1114" s="659" t="s">
        <v>3737</v>
      </c>
      <c r="B1114" s="660" t="s">
        <v>1114</v>
      </c>
      <c r="C1114" s="660" t="s">
        <v>1134</v>
      </c>
      <c r="D1114" s="660" t="s">
        <v>3502</v>
      </c>
      <c r="E1114" s="661" t="s">
        <v>1116</v>
      </c>
      <c r="F1114" s="662" t="s">
        <v>4340</v>
      </c>
      <c r="G1114" s="662" t="s">
        <v>3739</v>
      </c>
      <c r="H1114" s="663">
        <v>15.962</v>
      </c>
    </row>
    <row r="1115" spans="1:8" customFormat="1" ht="15" x14ac:dyDescent="0.25">
      <c r="A1115" s="673" t="s">
        <v>4426</v>
      </c>
      <c r="B1115" s="674" t="s">
        <v>1114</v>
      </c>
      <c r="C1115" s="674" t="s">
        <v>1300</v>
      </c>
      <c r="D1115" s="674" t="s">
        <v>1175</v>
      </c>
      <c r="E1115" s="675" t="s">
        <v>56</v>
      </c>
      <c r="F1115" s="676" t="s">
        <v>4861</v>
      </c>
      <c r="G1115" s="676" t="s">
        <v>4427</v>
      </c>
      <c r="H1115" s="678">
        <v>0.78677999999999992</v>
      </c>
    </row>
    <row r="1116" spans="1:8" customFormat="1" ht="23.25" thickBot="1" x14ac:dyDescent="0.3">
      <c r="A1116" s="673" t="s">
        <v>4869</v>
      </c>
      <c r="B1116" s="674" t="s">
        <v>1114</v>
      </c>
      <c r="C1116" s="674" t="s">
        <v>4870</v>
      </c>
      <c r="D1116" s="674" t="s">
        <v>1175</v>
      </c>
      <c r="E1116" s="675" t="s">
        <v>56</v>
      </c>
      <c r="F1116" s="676" t="s">
        <v>3711</v>
      </c>
      <c r="G1116" s="676" t="s">
        <v>4871</v>
      </c>
      <c r="H1116" s="677">
        <v>49.08</v>
      </c>
    </row>
    <row r="1117" spans="1:8" customFormat="1" ht="15.75" thickTop="1" x14ac:dyDescent="0.25">
      <c r="A1117" s="665"/>
      <c r="B1117" s="666"/>
      <c r="C1117" s="666"/>
      <c r="D1117" s="666"/>
      <c r="E1117" s="666"/>
      <c r="F1117" s="666"/>
      <c r="G1117" s="666"/>
      <c r="H1117" s="667"/>
    </row>
    <row r="1118" spans="1:8" customFormat="1" ht="15" x14ac:dyDescent="0.25">
      <c r="A1118" s="668" t="s">
        <v>3457</v>
      </c>
      <c r="B1118" s="669" t="s">
        <v>3697</v>
      </c>
      <c r="C1118" s="669" t="s">
        <v>3460</v>
      </c>
      <c r="D1118" s="669" t="s">
        <v>3462</v>
      </c>
      <c r="E1118" s="670" t="s">
        <v>69</v>
      </c>
      <c r="F1118" s="671" t="s">
        <v>63</v>
      </c>
      <c r="G1118" s="671" t="s">
        <v>3720</v>
      </c>
      <c r="H1118" s="672" t="s">
        <v>453</v>
      </c>
    </row>
    <row r="1119" spans="1:8" s="658" customFormat="1" ht="22.5" x14ac:dyDescent="0.25">
      <c r="A1119" s="653" t="s">
        <v>4872</v>
      </c>
      <c r="B1119" s="654" t="s">
        <v>3702</v>
      </c>
      <c r="C1119" s="654" t="s">
        <v>3687</v>
      </c>
      <c r="D1119" s="654" t="s">
        <v>3599</v>
      </c>
      <c r="E1119" s="655" t="s">
        <v>56</v>
      </c>
      <c r="F1119" s="656">
        <v>1</v>
      </c>
      <c r="G1119" s="656" t="s">
        <v>4873</v>
      </c>
      <c r="H1119" s="657" t="s">
        <v>4873</v>
      </c>
    </row>
    <row r="1120" spans="1:8" customFormat="1" ht="15" x14ac:dyDescent="0.25">
      <c r="A1120" s="659" t="s">
        <v>3732</v>
      </c>
      <c r="B1120" s="660" t="s">
        <v>1114</v>
      </c>
      <c r="C1120" s="660" t="s">
        <v>1287</v>
      </c>
      <c r="D1120" s="660" t="s">
        <v>3502</v>
      </c>
      <c r="E1120" s="661" t="s">
        <v>1116</v>
      </c>
      <c r="F1120" s="662" t="s">
        <v>4128</v>
      </c>
      <c r="G1120" s="662" t="s">
        <v>3734</v>
      </c>
      <c r="H1120" s="663">
        <v>1.9228000000000001</v>
      </c>
    </row>
    <row r="1121" spans="1:8" customFormat="1" ht="15" x14ac:dyDescent="0.25">
      <c r="A1121" s="659" t="s">
        <v>3737</v>
      </c>
      <c r="B1121" s="660" t="s">
        <v>1114</v>
      </c>
      <c r="C1121" s="660" t="s">
        <v>1134</v>
      </c>
      <c r="D1121" s="660" t="s">
        <v>3502</v>
      </c>
      <c r="E1121" s="661" t="s">
        <v>1116</v>
      </c>
      <c r="F1121" s="662" t="s">
        <v>4128</v>
      </c>
      <c r="G1121" s="662" t="s">
        <v>3739</v>
      </c>
      <c r="H1121" s="663">
        <v>1.5268000000000002</v>
      </c>
    </row>
    <row r="1122" spans="1:8" customFormat="1" ht="23.25" thickBot="1" x14ac:dyDescent="0.3">
      <c r="A1122" s="673" t="s">
        <v>4874</v>
      </c>
      <c r="B1122" s="674" t="s">
        <v>1114</v>
      </c>
      <c r="C1122" s="674" t="s">
        <v>4875</v>
      </c>
      <c r="D1122" s="674" t="s">
        <v>1175</v>
      </c>
      <c r="E1122" s="675" t="s">
        <v>56</v>
      </c>
      <c r="F1122" s="676" t="s">
        <v>3711</v>
      </c>
      <c r="G1122" s="676" t="s">
        <v>4876</v>
      </c>
      <c r="H1122" s="677">
        <v>11.99</v>
      </c>
    </row>
    <row r="1123" spans="1:8" customFormat="1" ht="15.75" thickTop="1" x14ac:dyDescent="0.25">
      <c r="A1123" s="665"/>
      <c r="B1123" s="666"/>
      <c r="C1123" s="666"/>
      <c r="D1123" s="666"/>
      <c r="E1123" s="666"/>
      <c r="F1123" s="666"/>
      <c r="G1123" s="666"/>
      <c r="H1123" s="667"/>
    </row>
    <row r="1124" spans="1:8" customFormat="1" ht="15" x14ac:dyDescent="0.25">
      <c r="A1124" s="668" t="s">
        <v>3457</v>
      </c>
      <c r="B1124" s="669" t="s">
        <v>3697</v>
      </c>
      <c r="C1124" s="669" t="s">
        <v>3460</v>
      </c>
      <c r="D1124" s="669" t="s">
        <v>3462</v>
      </c>
      <c r="E1124" s="670" t="s">
        <v>69</v>
      </c>
      <c r="F1124" s="671" t="s">
        <v>63</v>
      </c>
      <c r="G1124" s="671" t="s">
        <v>3720</v>
      </c>
      <c r="H1124" s="672" t="s">
        <v>453</v>
      </c>
    </row>
    <row r="1125" spans="1:8" s="658" customFormat="1" ht="22.5" x14ac:dyDescent="0.25">
      <c r="A1125" s="653" t="s">
        <v>3640</v>
      </c>
      <c r="B1125" s="654" t="s">
        <v>3702</v>
      </c>
      <c r="C1125" s="654" t="s">
        <v>3641</v>
      </c>
      <c r="D1125" s="654" t="s">
        <v>3463</v>
      </c>
      <c r="E1125" s="655" t="s">
        <v>56</v>
      </c>
      <c r="F1125" s="656">
        <v>1</v>
      </c>
      <c r="G1125" s="656" t="s">
        <v>4877</v>
      </c>
      <c r="H1125" s="657" t="s">
        <v>4877</v>
      </c>
    </row>
    <row r="1126" spans="1:8" customFormat="1" ht="15" x14ac:dyDescent="0.25">
      <c r="A1126" s="659" t="s">
        <v>3737</v>
      </c>
      <c r="B1126" s="660" t="s">
        <v>1114</v>
      </c>
      <c r="C1126" s="660" t="s">
        <v>1134</v>
      </c>
      <c r="D1126" s="660" t="s">
        <v>3502</v>
      </c>
      <c r="E1126" s="661" t="s">
        <v>1116</v>
      </c>
      <c r="F1126" s="662" t="s">
        <v>3826</v>
      </c>
      <c r="G1126" s="662" t="s">
        <v>3739</v>
      </c>
      <c r="H1126" s="663">
        <v>27.76</v>
      </c>
    </row>
    <row r="1127" spans="1:8" customFormat="1" ht="15" x14ac:dyDescent="0.25">
      <c r="A1127" s="659" t="s">
        <v>3735</v>
      </c>
      <c r="B1127" s="660" t="s">
        <v>1114</v>
      </c>
      <c r="C1127" s="660" t="s">
        <v>1133</v>
      </c>
      <c r="D1127" s="660" t="s">
        <v>3502</v>
      </c>
      <c r="E1127" s="661" t="s">
        <v>1116</v>
      </c>
      <c r="F1127" s="662" t="s">
        <v>3826</v>
      </c>
      <c r="G1127" s="662" t="s">
        <v>3736</v>
      </c>
      <c r="H1127" s="663">
        <v>34.159999999999997</v>
      </c>
    </row>
    <row r="1128" spans="1:8" customFormat="1" ht="15" x14ac:dyDescent="0.25">
      <c r="A1128" s="673" t="s">
        <v>3749</v>
      </c>
      <c r="B1128" s="674" t="s">
        <v>1114</v>
      </c>
      <c r="C1128" s="674" t="s">
        <v>1206</v>
      </c>
      <c r="D1128" s="674" t="s">
        <v>1175</v>
      </c>
      <c r="E1128" s="675" t="s">
        <v>273</v>
      </c>
      <c r="F1128" s="676" t="s">
        <v>3839</v>
      </c>
      <c r="G1128" s="676" t="s">
        <v>3751</v>
      </c>
      <c r="H1128" s="678">
        <v>2.5100000000000002</v>
      </c>
    </row>
    <row r="1129" spans="1:8" customFormat="1" ht="15" x14ac:dyDescent="0.25">
      <c r="A1129" s="673" t="s">
        <v>4011</v>
      </c>
      <c r="B1129" s="674" t="s">
        <v>1114</v>
      </c>
      <c r="C1129" s="674" t="s">
        <v>1207</v>
      </c>
      <c r="D1129" s="674" t="s">
        <v>1175</v>
      </c>
      <c r="E1129" s="675" t="s">
        <v>92</v>
      </c>
      <c r="F1129" s="676" t="s">
        <v>4878</v>
      </c>
      <c r="G1129" s="676" t="s">
        <v>4013</v>
      </c>
      <c r="H1129" s="678">
        <v>6.58</v>
      </c>
    </row>
    <row r="1130" spans="1:8" customFormat="1" ht="23.25" thickBot="1" x14ac:dyDescent="0.3">
      <c r="A1130" s="673" t="s">
        <v>4879</v>
      </c>
      <c r="B1130" s="674" t="s">
        <v>1114</v>
      </c>
      <c r="C1130" s="674" t="s">
        <v>4880</v>
      </c>
      <c r="D1130" s="674" t="s">
        <v>1175</v>
      </c>
      <c r="E1130" s="675" t="s">
        <v>56</v>
      </c>
      <c r="F1130" s="676" t="s">
        <v>3711</v>
      </c>
      <c r="G1130" s="676" t="s">
        <v>4881</v>
      </c>
      <c r="H1130" s="677">
        <v>305</v>
      </c>
    </row>
    <row r="1131" spans="1:8" customFormat="1" ht="15.75" thickTop="1" x14ac:dyDescent="0.25">
      <c r="A1131" s="665"/>
      <c r="B1131" s="666"/>
      <c r="C1131" s="666"/>
      <c r="D1131" s="666"/>
      <c r="E1131" s="666"/>
      <c r="F1131" s="666"/>
      <c r="G1131" s="666"/>
      <c r="H1131" s="667"/>
    </row>
    <row r="1132" spans="1:8" customFormat="1" ht="15" x14ac:dyDescent="0.25">
      <c r="A1132" s="668" t="s">
        <v>3457</v>
      </c>
      <c r="B1132" s="669" t="s">
        <v>3697</v>
      </c>
      <c r="C1132" s="669" t="s">
        <v>3460</v>
      </c>
      <c r="D1132" s="669" t="s">
        <v>3462</v>
      </c>
      <c r="E1132" s="670" t="s">
        <v>69</v>
      </c>
      <c r="F1132" s="671" t="s">
        <v>63</v>
      </c>
      <c r="G1132" s="671" t="s">
        <v>3720</v>
      </c>
      <c r="H1132" s="672" t="s">
        <v>453</v>
      </c>
    </row>
    <row r="1133" spans="1:8" s="658" customFormat="1" ht="22.5" x14ac:dyDescent="0.25">
      <c r="A1133" s="653" t="s">
        <v>3691</v>
      </c>
      <c r="B1133" s="654" t="s">
        <v>3702</v>
      </c>
      <c r="C1133" s="654" t="s">
        <v>3254</v>
      </c>
      <c r="D1133" s="654" t="s">
        <v>3599</v>
      </c>
      <c r="E1133" s="655" t="s">
        <v>56</v>
      </c>
      <c r="F1133" s="656">
        <v>1</v>
      </c>
      <c r="G1133" s="656" t="s">
        <v>4882</v>
      </c>
      <c r="H1133" s="657" t="s">
        <v>4882</v>
      </c>
    </row>
    <row r="1134" spans="1:8" customFormat="1" ht="15" x14ac:dyDescent="0.25">
      <c r="A1134" s="659" t="s">
        <v>4172</v>
      </c>
      <c r="B1134" s="660" t="s">
        <v>1114</v>
      </c>
      <c r="C1134" s="660" t="s">
        <v>1260</v>
      </c>
      <c r="D1134" s="660" t="s">
        <v>3502</v>
      </c>
      <c r="E1134" s="661" t="s">
        <v>1116</v>
      </c>
      <c r="F1134" s="662" t="s">
        <v>3902</v>
      </c>
      <c r="G1134" s="662" t="s">
        <v>4173</v>
      </c>
      <c r="H1134" s="663">
        <v>8.84</v>
      </c>
    </row>
    <row r="1135" spans="1:8" customFormat="1" ht="15" x14ac:dyDescent="0.25">
      <c r="A1135" s="659" t="s">
        <v>3737</v>
      </c>
      <c r="B1135" s="660" t="s">
        <v>1114</v>
      </c>
      <c r="C1135" s="660" t="s">
        <v>1134</v>
      </c>
      <c r="D1135" s="660" t="s">
        <v>3502</v>
      </c>
      <c r="E1135" s="661" t="s">
        <v>1116</v>
      </c>
      <c r="F1135" s="662" t="s">
        <v>3902</v>
      </c>
      <c r="G1135" s="662" t="s">
        <v>3739</v>
      </c>
      <c r="H1135" s="663">
        <v>6.94</v>
      </c>
    </row>
    <row r="1136" spans="1:8" customFormat="1" ht="23.25" thickBot="1" x14ac:dyDescent="0.3">
      <c r="A1136" s="673" t="s">
        <v>4883</v>
      </c>
      <c r="B1136" s="674" t="s">
        <v>3702</v>
      </c>
      <c r="C1136" s="674" t="s">
        <v>4884</v>
      </c>
      <c r="D1136" s="674" t="s">
        <v>1175</v>
      </c>
      <c r="E1136" s="675" t="s">
        <v>56</v>
      </c>
      <c r="F1136" s="676" t="s">
        <v>3711</v>
      </c>
      <c r="G1136" s="676" t="s">
        <v>4885</v>
      </c>
      <c r="H1136" s="677">
        <v>41.21</v>
      </c>
    </row>
    <row r="1137" spans="1:8" customFormat="1" ht="15.75" thickTop="1" x14ac:dyDescent="0.25">
      <c r="A1137" s="665"/>
      <c r="B1137" s="666"/>
      <c r="C1137" s="666"/>
      <c r="D1137" s="666"/>
      <c r="E1137" s="666"/>
      <c r="F1137" s="666"/>
      <c r="G1137" s="666"/>
      <c r="H1137" s="667"/>
    </row>
    <row r="1138" spans="1:8" customFormat="1" ht="15" x14ac:dyDescent="0.25">
      <c r="A1138" s="668" t="s">
        <v>3457</v>
      </c>
      <c r="B1138" s="669" t="s">
        <v>3697</v>
      </c>
      <c r="C1138" s="669" t="s">
        <v>3460</v>
      </c>
      <c r="D1138" s="669" t="s">
        <v>3462</v>
      </c>
      <c r="E1138" s="670" t="s">
        <v>69</v>
      </c>
      <c r="F1138" s="671" t="s">
        <v>63</v>
      </c>
      <c r="G1138" s="671" t="s">
        <v>3720</v>
      </c>
      <c r="H1138" s="672" t="s">
        <v>453</v>
      </c>
    </row>
    <row r="1139" spans="1:8" s="658" customFormat="1" ht="22.5" x14ac:dyDescent="0.25">
      <c r="A1139" s="653" t="s">
        <v>3565</v>
      </c>
      <c r="B1139" s="654" t="s">
        <v>3702</v>
      </c>
      <c r="C1139" s="654" t="s">
        <v>2565</v>
      </c>
      <c r="D1139" s="654" t="s">
        <v>3463</v>
      </c>
      <c r="E1139" s="655" t="s">
        <v>56</v>
      </c>
      <c r="F1139" s="656">
        <v>1</v>
      </c>
      <c r="G1139" s="656" t="s">
        <v>4886</v>
      </c>
      <c r="H1139" s="657" t="s">
        <v>4886</v>
      </c>
    </row>
    <row r="1140" spans="1:8" customFormat="1" ht="15" x14ac:dyDescent="0.25">
      <c r="A1140" s="659" t="s">
        <v>3961</v>
      </c>
      <c r="B1140" s="660" t="s">
        <v>1114</v>
      </c>
      <c r="C1140" s="660" t="s">
        <v>1223</v>
      </c>
      <c r="D1140" s="660" t="s">
        <v>3502</v>
      </c>
      <c r="E1140" s="661" t="s">
        <v>1116</v>
      </c>
      <c r="F1140" s="662" t="s">
        <v>4887</v>
      </c>
      <c r="G1140" s="662" t="s">
        <v>3963</v>
      </c>
      <c r="H1140" s="663">
        <v>89.120999999999995</v>
      </c>
    </row>
    <row r="1141" spans="1:8" customFormat="1" ht="15" x14ac:dyDescent="0.25">
      <c r="A1141" s="659" t="s">
        <v>4888</v>
      </c>
      <c r="B1141" s="660" t="s">
        <v>1114</v>
      </c>
      <c r="C1141" s="660" t="s">
        <v>2567</v>
      </c>
      <c r="D1141" s="660" t="s">
        <v>3502</v>
      </c>
      <c r="E1141" s="661" t="s">
        <v>1116</v>
      </c>
      <c r="F1141" s="662" t="s">
        <v>4887</v>
      </c>
      <c r="G1141" s="662" t="s">
        <v>4889</v>
      </c>
      <c r="H1141" s="663">
        <v>136.274</v>
      </c>
    </row>
    <row r="1142" spans="1:8" customFormat="1" ht="15.75" thickBot="1" x14ac:dyDescent="0.3">
      <c r="A1142" s="673" t="s">
        <v>4890</v>
      </c>
      <c r="B1142" s="674" t="s">
        <v>3702</v>
      </c>
      <c r="C1142" s="674" t="s">
        <v>2568</v>
      </c>
      <c r="D1142" s="674" t="s">
        <v>1175</v>
      </c>
      <c r="E1142" s="675" t="s">
        <v>56</v>
      </c>
      <c r="F1142" s="676" t="s">
        <v>3711</v>
      </c>
      <c r="G1142" s="676" t="s">
        <v>4891</v>
      </c>
      <c r="H1142" s="677">
        <v>2430.8200000000002</v>
      </c>
    </row>
    <row r="1143" spans="1:8" customFormat="1" ht="15.75" thickTop="1" x14ac:dyDescent="0.25">
      <c r="A1143" s="665"/>
      <c r="B1143" s="666"/>
      <c r="C1143" s="666"/>
      <c r="D1143" s="666"/>
      <c r="E1143" s="666"/>
      <c r="F1143" s="666"/>
      <c r="G1143" s="666"/>
      <c r="H1143" s="667"/>
    </row>
    <row r="1144" spans="1:8" customFormat="1" ht="15" x14ac:dyDescent="0.25">
      <c r="A1144" s="668" t="s">
        <v>3457</v>
      </c>
      <c r="B1144" s="669" t="s">
        <v>3697</v>
      </c>
      <c r="C1144" s="669" t="s">
        <v>3460</v>
      </c>
      <c r="D1144" s="669" t="s">
        <v>3462</v>
      </c>
      <c r="E1144" s="670" t="s">
        <v>69</v>
      </c>
      <c r="F1144" s="671" t="s">
        <v>63</v>
      </c>
      <c r="G1144" s="671" t="s">
        <v>3720</v>
      </c>
      <c r="H1144" s="672" t="s">
        <v>453</v>
      </c>
    </row>
    <row r="1145" spans="1:8" s="658" customFormat="1" ht="33.75" x14ac:dyDescent="0.25">
      <c r="A1145" s="653" t="s">
        <v>4892</v>
      </c>
      <c r="B1145" s="654" t="s">
        <v>3702</v>
      </c>
      <c r="C1145" s="654" t="s">
        <v>1644</v>
      </c>
      <c r="D1145" s="654" t="s">
        <v>3516</v>
      </c>
      <c r="E1145" s="655" t="s">
        <v>99</v>
      </c>
      <c r="F1145" s="656">
        <v>1</v>
      </c>
      <c r="G1145" s="656" t="s">
        <v>4306</v>
      </c>
      <c r="H1145" s="657" t="s">
        <v>4306</v>
      </c>
    </row>
    <row r="1146" spans="1:8" customFormat="1" ht="15" x14ac:dyDescent="0.25">
      <c r="A1146" s="659" t="s">
        <v>3737</v>
      </c>
      <c r="B1146" s="660" t="s">
        <v>1114</v>
      </c>
      <c r="C1146" s="660" t="s">
        <v>1134</v>
      </c>
      <c r="D1146" s="660" t="s">
        <v>3502</v>
      </c>
      <c r="E1146" s="661" t="s">
        <v>1116</v>
      </c>
      <c r="F1146" s="662" t="s">
        <v>4046</v>
      </c>
      <c r="G1146" s="662" t="s">
        <v>3739</v>
      </c>
      <c r="H1146" s="663">
        <v>6.2460000000000004</v>
      </c>
    </row>
    <row r="1147" spans="1:8" customFormat="1" ht="15.75" thickBot="1" x14ac:dyDescent="0.3">
      <c r="A1147" s="673" t="s">
        <v>4893</v>
      </c>
      <c r="B1147" s="674" t="s">
        <v>3702</v>
      </c>
      <c r="C1147" s="674" t="s">
        <v>2561</v>
      </c>
      <c r="D1147" s="674" t="s">
        <v>1175</v>
      </c>
      <c r="E1147" s="675" t="s">
        <v>99</v>
      </c>
      <c r="F1147" s="676" t="s">
        <v>4626</v>
      </c>
      <c r="G1147" s="676" t="s">
        <v>4894</v>
      </c>
      <c r="H1147" s="677">
        <v>2.7201999999999997</v>
      </c>
    </row>
    <row r="1148" spans="1:8" customFormat="1" ht="15.75" thickTop="1" x14ac:dyDescent="0.25">
      <c r="A1148" s="665"/>
      <c r="B1148" s="666"/>
      <c r="C1148" s="666"/>
      <c r="D1148" s="666"/>
      <c r="E1148" s="666"/>
      <c r="F1148" s="666"/>
      <c r="G1148" s="666"/>
      <c r="H1148" s="667"/>
    </row>
    <row r="1149" spans="1:8" customFormat="1" ht="15" x14ac:dyDescent="0.25">
      <c r="A1149" s="668" t="s">
        <v>3457</v>
      </c>
      <c r="B1149" s="669" t="s">
        <v>3697</v>
      </c>
      <c r="C1149" s="669" t="s">
        <v>3460</v>
      </c>
      <c r="D1149" s="669" t="s">
        <v>3462</v>
      </c>
      <c r="E1149" s="670" t="s">
        <v>69</v>
      </c>
      <c r="F1149" s="671" t="s">
        <v>63</v>
      </c>
      <c r="G1149" s="671" t="s">
        <v>3720</v>
      </c>
      <c r="H1149" s="672" t="s">
        <v>453</v>
      </c>
    </row>
    <row r="1150" spans="1:8" s="658" customFormat="1" ht="22.5" x14ac:dyDescent="0.25">
      <c r="A1150" s="653" t="s">
        <v>3682</v>
      </c>
      <c r="B1150" s="654" t="s">
        <v>3702</v>
      </c>
      <c r="C1150" s="654" t="s">
        <v>3272</v>
      </c>
      <c r="D1150" s="654" t="s">
        <v>3572</v>
      </c>
      <c r="E1150" s="655" t="s">
        <v>106</v>
      </c>
      <c r="F1150" s="656">
        <v>1</v>
      </c>
      <c r="G1150" s="656" t="s">
        <v>4895</v>
      </c>
      <c r="H1150" s="657" t="s">
        <v>4895</v>
      </c>
    </row>
    <row r="1151" spans="1:8" customFormat="1" ht="15" x14ac:dyDescent="0.25">
      <c r="A1151" s="659" t="s">
        <v>3735</v>
      </c>
      <c r="B1151" s="660" t="s">
        <v>1114</v>
      </c>
      <c r="C1151" s="660" t="s">
        <v>1133</v>
      </c>
      <c r="D1151" s="660" t="s">
        <v>3502</v>
      </c>
      <c r="E1151" s="661" t="s">
        <v>1116</v>
      </c>
      <c r="F1151" s="662" t="s">
        <v>4896</v>
      </c>
      <c r="G1151" s="662" t="s">
        <v>3736</v>
      </c>
      <c r="H1151" s="663">
        <v>65.928799999999995</v>
      </c>
    </row>
    <row r="1152" spans="1:8" customFormat="1" ht="15" x14ac:dyDescent="0.25">
      <c r="A1152" s="659" t="s">
        <v>3737</v>
      </c>
      <c r="B1152" s="660" t="s">
        <v>1114</v>
      </c>
      <c r="C1152" s="660" t="s">
        <v>1134</v>
      </c>
      <c r="D1152" s="660" t="s">
        <v>3502</v>
      </c>
      <c r="E1152" s="661" t="s">
        <v>1116</v>
      </c>
      <c r="F1152" s="662" t="s">
        <v>4897</v>
      </c>
      <c r="G1152" s="662" t="s">
        <v>3739</v>
      </c>
      <c r="H1152" s="663">
        <v>87.721600000000009</v>
      </c>
    </row>
    <row r="1153" spans="1:8" customFormat="1" ht="15" x14ac:dyDescent="0.25">
      <c r="A1153" s="673" t="s">
        <v>3749</v>
      </c>
      <c r="B1153" s="674" t="s">
        <v>1114</v>
      </c>
      <c r="C1153" s="674" t="s">
        <v>1206</v>
      </c>
      <c r="D1153" s="674" t="s">
        <v>1175</v>
      </c>
      <c r="E1153" s="675" t="s">
        <v>273</v>
      </c>
      <c r="F1153" s="676" t="s">
        <v>4898</v>
      </c>
      <c r="G1153" s="676" t="s">
        <v>3751</v>
      </c>
      <c r="H1153" s="678">
        <v>10.573375</v>
      </c>
    </row>
    <row r="1154" spans="1:8" customFormat="1" ht="15" x14ac:dyDescent="0.25">
      <c r="A1154" s="673" t="s">
        <v>4011</v>
      </c>
      <c r="B1154" s="674" t="s">
        <v>1114</v>
      </c>
      <c r="C1154" s="674" t="s">
        <v>1207</v>
      </c>
      <c r="D1154" s="674" t="s">
        <v>1175</v>
      </c>
      <c r="E1154" s="675" t="s">
        <v>92</v>
      </c>
      <c r="F1154" s="676" t="s">
        <v>4899</v>
      </c>
      <c r="G1154" s="676" t="s">
        <v>4013</v>
      </c>
      <c r="H1154" s="678">
        <v>14.592559999999999</v>
      </c>
    </row>
    <row r="1155" spans="1:8" customFormat="1" ht="22.5" x14ac:dyDescent="0.25">
      <c r="A1155" s="673" t="s">
        <v>4900</v>
      </c>
      <c r="B1155" s="674" t="s">
        <v>1114</v>
      </c>
      <c r="C1155" s="674" t="s">
        <v>4901</v>
      </c>
      <c r="D1155" s="674" t="s">
        <v>1175</v>
      </c>
      <c r="E1155" s="675" t="s">
        <v>273</v>
      </c>
      <c r="F1155" s="676" t="s">
        <v>4902</v>
      </c>
      <c r="G1155" s="676" t="s">
        <v>4903</v>
      </c>
      <c r="H1155" s="678">
        <v>7.1704800000000004</v>
      </c>
    </row>
    <row r="1156" spans="1:8" customFormat="1" ht="15" x14ac:dyDescent="0.25">
      <c r="A1156" s="673" t="s">
        <v>4007</v>
      </c>
      <c r="B1156" s="674" t="s">
        <v>1114</v>
      </c>
      <c r="C1156" s="674" t="s">
        <v>1205</v>
      </c>
      <c r="D1156" s="674" t="s">
        <v>1175</v>
      </c>
      <c r="E1156" s="675" t="s">
        <v>92</v>
      </c>
      <c r="F1156" s="676" t="s">
        <v>4904</v>
      </c>
      <c r="G1156" s="676" t="s">
        <v>4009</v>
      </c>
      <c r="H1156" s="678">
        <v>8.9540000000000006</v>
      </c>
    </row>
    <row r="1157" spans="1:8" customFormat="1" ht="15.75" thickBot="1" x14ac:dyDescent="0.3">
      <c r="A1157" s="673" t="s">
        <v>3762</v>
      </c>
      <c r="B1157" s="674" t="s">
        <v>1114</v>
      </c>
      <c r="C1157" s="674" t="s">
        <v>1572</v>
      </c>
      <c r="D1157" s="674" t="s">
        <v>1175</v>
      </c>
      <c r="E1157" s="675" t="s">
        <v>56</v>
      </c>
      <c r="F1157" s="676" t="s">
        <v>4905</v>
      </c>
      <c r="G1157" s="676" t="s">
        <v>3763</v>
      </c>
      <c r="H1157" s="677">
        <v>52.47</v>
      </c>
    </row>
    <row r="1158" spans="1:8" customFormat="1" ht="15.75" thickTop="1" x14ac:dyDescent="0.25">
      <c r="A1158" s="665"/>
      <c r="B1158" s="666"/>
      <c r="C1158" s="666"/>
      <c r="D1158" s="666"/>
      <c r="E1158" s="666"/>
      <c r="F1158" s="666"/>
      <c r="G1158" s="666"/>
      <c r="H1158" s="667"/>
    </row>
    <row r="1159" spans="1:8" customFormat="1" ht="15" x14ac:dyDescent="0.25">
      <c r="A1159" s="668" t="s">
        <v>3457</v>
      </c>
      <c r="B1159" s="669" t="s">
        <v>3697</v>
      </c>
      <c r="C1159" s="669" t="s">
        <v>3460</v>
      </c>
      <c r="D1159" s="669" t="s">
        <v>3462</v>
      </c>
      <c r="E1159" s="670" t="s">
        <v>69</v>
      </c>
      <c r="F1159" s="671" t="s">
        <v>63</v>
      </c>
      <c r="G1159" s="671" t="s">
        <v>3720</v>
      </c>
      <c r="H1159" s="672" t="s">
        <v>453</v>
      </c>
    </row>
    <row r="1160" spans="1:8" s="658" customFormat="1" ht="33.75" x14ac:dyDescent="0.25">
      <c r="A1160" s="653" t="s">
        <v>3521</v>
      </c>
      <c r="B1160" s="654" t="s">
        <v>3702</v>
      </c>
      <c r="C1160" s="654" t="s">
        <v>919</v>
      </c>
      <c r="D1160" s="654" t="s">
        <v>3516</v>
      </c>
      <c r="E1160" s="655" t="s">
        <v>56</v>
      </c>
      <c r="F1160" s="656">
        <v>1</v>
      </c>
      <c r="G1160" s="656" t="s">
        <v>4906</v>
      </c>
      <c r="H1160" s="657" t="s">
        <v>4906</v>
      </c>
    </row>
    <row r="1161" spans="1:8" customFormat="1" ht="15" x14ac:dyDescent="0.25">
      <c r="A1161" s="659" t="s">
        <v>4172</v>
      </c>
      <c r="B1161" s="660" t="s">
        <v>1114</v>
      </c>
      <c r="C1161" s="660" t="s">
        <v>1260</v>
      </c>
      <c r="D1161" s="660" t="s">
        <v>3502</v>
      </c>
      <c r="E1161" s="661" t="s">
        <v>1116</v>
      </c>
      <c r="F1161" s="662" t="s">
        <v>3902</v>
      </c>
      <c r="G1161" s="662" t="s">
        <v>4173</v>
      </c>
      <c r="H1161" s="663">
        <v>8.84</v>
      </c>
    </row>
    <row r="1162" spans="1:8" customFormat="1" ht="15.75" thickBot="1" x14ac:dyDescent="0.3">
      <c r="A1162" s="673" t="s">
        <v>4907</v>
      </c>
      <c r="B1162" s="674" t="s">
        <v>1114</v>
      </c>
      <c r="C1162" s="674" t="s">
        <v>4908</v>
      </c>
      <c r="D1162" s="674" t="s">
        <v>1175</v>
      </c>
      <c r="E1162" s="675" t="s">
        <v>56</v>
      </c>
      <c r="F1162" s="676" t="s">
        <v>3711</v>
      </c>
      <c r="G1162" s="676" t="s">
        <v>4909</v>
      </c>
      <c r="H1162" s="677">
        <v>25.71</v>
      </c>
    </row>
    <row r="1163" spans="1:8" customFormat="1" ht="15.75" thickTop="1" x14ac:dyDescent="0.25">
      <c r="A1163" s="665"/>
      <c r="B1163" s="666"/>
      <c r="C1163" s="666"/>
      <c r="D1163" s="666"/>
      <c r="E1163" s="666"/>
      <c r="F1163" s="666"/>
      <c r="G1163" s="666"/>
      <c r="H1163" s="667"/>
    </row>
    <row r="1164" spans="1:8" customFormat="1" ht="15" x14ac:dyDescent="0.25">
      <c r="A1164" s="668" t="s">
        <v>3457</v>
      </c>
      <c r="B1164" s="669" t="s">
        <v>3697</v>
      </c>
      <c r="C1164" s="669" t="s">
        <v>3460</v>
      </c>
      <c r="D1164" s="669" t="s">
        <v>3462</v>
      </c>
      <c r="E1164" s="670" t="s">
        <v>69</v>
      </c>
      <c r="F1164" s="671" t="s">
        <v>63</v>
      </c>
      <c r="G1164" s="671" t="s">
        <v>3720</v>
      </c>
      <c r="H1164" s="672" t="s">
        <v>453</v>
      </c>
    </row>
    <row r="1165" spans="1:8" s="658" customFormat="1" ht="22.5" x14ac:dyDescent="0.25">
      <c r="A1165" s="653" t="s">
        <v>3508</v>
      </c>
      <c r="B1165" s="654" t="s">
        <v>3702</v>
      </c>
      <c r="C1165" s="654" t="s">
        <v>1345</v>
      </c>
      <c r="D1165" s="654" t="s">
        <v>3482</v>
      </c>
      <c r="E1165" s="655" t="s">
        <v>106</v>
      </c>
      <c r="F1165" s="656">
        <v>1</v>
      </c>
      <c r="G1165" s="656" t="s">
        <v>4521</v>
      </c>
      <c r="H1165" s="657" t="s">
        <v>4521</v>
      </c>
    </row>
    <row r="1166" spans="1:8" customFormat="1" ht="15" x14ac:dyDescent="0.25">
      <c r="A1166" s="659" t="s">
        <v>3770</v>
      </c>
      <c r="B1166" s="660" t="s">
        <v>1114</v>
      </c>
      <c r="C1166" s="660" t="s">
        <v>1121</v>
      </c>
      <c r="D1166" s="660" t="s">
        <v>3502</v>
      </c>
      <c r="E1166" s="661" t="s">
        <v>1116</v>
      </c>
      <c r="F1166" s="662" t="s">
        <v>3822</v>
      </c>
      <c r="G1166" s="662" t="s">
        <v>3741</v>
      </c>
      <c r="H1166" s="663">
        <v>0.33960000000000001</v>
      </c>
    </row>
    <row r="1167" spans="1:8" customFormat="1" ht="15" x14ac:dyDescent="0.25">
      <c r="A1167" s="659" t="s">
        <v>3737</v>
      </c>
      <c r="B1167" s="660" t="s">
        <v>1114</v>
      </c>
      <c r="C1167" s="660" t="s">
        <v>1134</v>
      </c>
      <c r="D1167" s="660" t="s">
        <v>3502</v>
      </c>
      <c r="E1167" s="661" t="s">
        <v>1116</v>
      </c>
      <c r="F1167" s="662" t="s">
        <v>3839</v>
      </c>
      <c r="G1167" s="662" t="s">
        <v>3739</v>
      </c>
      <c r="H1167" s="663">
        <v>0.55520000000000003</v>
      </c>
    </row>
    <row r="1168" spans="1:8" customFormat="1" ht="15" x14ac:dyDescent="0.25">
      <c r="A1168" s="673" t="s">
        <v>3774</v>
      </c>
      <c r="B1168" s="674" t="s">
        <v>1114</v>
      </c>
      <c r="C1168" s="674" t="s">
        <v>1124</v>
      </c>
      <c r="D1168" s="674" t="s">
        <v>1175</v>
      </c>
      <c r="E1168" s="675" t="s">
        <v>92</v>
      </c>
      <c r="F1168" s="676" t="s">
        <v>4910</v>
      </c>
      <c r="G1168" s="676" t="s">
        <v>3776</v>
      </c>
      <c r="H1168" s="678">
        <v>8.1884999999999999E-2</v>
      </c>
    </row>
    <row r="1169" spans="1:8" customFormat="1" ht="23.25" thickBot="1" x14ac:dyDescent="0.3">
      <c r="A1169" s="673" t="s">
        <v>4911</v>
      </c>
      <c r="B1169" s="674" t="s">
        <v>1114</v>
      </c>
      <c r="C1169" s="674" t="s">
        <v>4912</v>
      </c>
      <c r="D1169" s="674" t="s">
        <v>1175</v>
      </c>
      <c r="E1169" s="675" t="s">
        <v>106</v>
      </c>
      <c r="F1169" s="676" t="s">
        <v>4913</v>
      </c>
      <c r="G1169" s="676" t="s">
        <v>4914</v>
      </c>
      <c r="H1169" s="677">
        <v>18.457600000000003</v>
      </c>
    </row>
    <row r="1170" spans="1:8" customFormat="1" ht="15.75" thickTop="1" x14ac:dyDescent="0.25">
      <c r="A1170" s="665"/>
      <c r="B1170" s="666"/>
      <c r="C1170" s="666"/>
      <c r="D1170" s="666"/>
      <c r="E1170" s="666"/>
      <c r="F1170" s="666"/>
      <c r="G1170" s="666"/>
      <c r="H1170" s="667"/>
    </row>
    <row r="1171" spans="1:8" customFormat="1" ht="15" x14ac:dyDescent="0.25">
      <c r="A1171" s="668" t="s">
        <v>3457</v>
      </c>
      <c r="B1171" s="669" t="s">
        <v>3697</v>
      </c>
      <c r="C1171" s="669" t="s">
        <v>3460</v>
      </c>
      <c r="D1171" s="669" t="s">
        <v>3462</v>
      </c>
      <c r="E1171" s="670" t="s">
        <v>69</v>
      </c>
      <c r="F1171" s="671" t="s">
        <v>63</v>
      </c>
      <c r="G1171" s="671" t="s">
        <v>3720</v>
      </c>
      <c r="H1171" s="672" t="s">
        <v>453</v>
      </c>
    </row>
    <row r="1172" spans="1:8" s="658" customFormat="1" ht="33.75" x14ac:dyDescent="0.25">
      <c r="A1172" s="653" t="s">
        <v>3539</v>
      </c>
      <c r="B1172" s="654" t="s">
        <v>3702</v>
      </c>
      <c r="C1172" s="654" t="s">
        <v>2763</v>
      </c>
      <c r="D1172" s="654" t="s">
        <v>3482</v>
      </c>
      <c r="E1172" s="655" t="s">
        <v>92</v>
      </c>
      <c r="F1172" s="656">
        <v>1</v>
      </c>
      <c r="G1172" s="656" t="s">
        <v>4321</v>
      </c>
      <c r="H1172" s="657" t="s">
        <v>4321</v>
      </c>
    </row>
    <row r="1173" spans="1:8" customFormat="1" ht="15" x14ac:dyDescent="0.25">
      <c r="A1173" s="659" t="s">
        <v>3767</v>
      </c>
      <c r="B1173" s="660" t="s">
        <v>1114</v>
      </c>
      <c r="C1173" s="660" t="s">
        <v>1120</v>
      </c>
      <c r="D1173" s="660" t="s">
        <v>3502</v>
      </c>
      <c r="E1173" s="661" t="s">
        <v>1116</v>
      </c>
      <c r="F1173" s="662" t="s">
        <v>4915</v>
      </c>
      <c r="G1173" s="662" t="s">
        <v>3769</v>
      </c>
      <c r="H1173" s="663">
        <v>8.3400000000000002E-2</v>
      </c>
    </row>
    <row r="1174" spans="1:8" customFormat="1" ht="15" x14ac:dyDescent="0.25">
      <c r="A1174" s="659" t="s">
        <v>3770</v>
      </c>
      <c r="B1174" s="660" t="s">
        <v>1114</v>
      </c>
      <c r="C1174" s="660" t="s">
        <v>1121</v>
      </c>
      <c r="D1174" s="660" t="s">
        <v>3502</v>
      </c>
      <c r="E1174" s="661" t="s">
        <v>1116</v>
      </c>
      <c r="F1174" s="662" t="s">
        <v>4916</v>
      </c>
      <c r="G1174" s="662" t="s">
        <v>3741</v>
      </c>
      <c r="H1174" s="663">
        <v>0.62316600000000011</v>
      </c>
    </row>
    <row r="1175" spans="1:8" customFormat="1" ht="22.5" x14ac:dyDescent="0.25">
      <c r="A1175" s="659" t="s">
        <v>4917</v>
      </c>
      <c r="B1175" s="660" t="s">
        <v>1114</v>
      </c>
      <c r="C1175" s="660" t="s">
        <v>1130</v>
      </c>
      <c r="D1175" s="660" t="s">
        <v>3482</v>
      </c>
      <c r="E1175" s="661" t="s">
        <v>92</v>
      </c>
      <c r="F1175" s="662" t="s">
        <v>3711</v>
      </c>
      <c r="G1175" s="662" t="s">
        <v>4918</v>
      </c>
      <c r="H1175" s="663">
        <v>3.95</v>
      </c>
    </row>
    <row r="1176" spans="1:8" customFormat="1" ht="15" x14ac:dyDescent="0.25">
      <c r="A1176" s="673" t="s">
        <v>3774</v>
      </c>
      <c r="B1176" s="674" t="s">
        <v>1114</v>
      </c>
      <c r="C1176" s="674" t="s">
        <v>1124</v>
      </c>
      <c r="D1176" s="674" t="s">
        <v>1175</v>
      </c>
      <c r="E1176" s="675" t="s">
        <v>92</v>
      </c>
      <c r="F1176" s="676" t="s">
        <v>3775</v>
      </c>
      <c r="G1176" s="676" t="s">
        <v>3776</v>
      </c>
      <c r="H1176" s="678">
        <v>0.19875000000000001</v>
      </c>
    </row>
    <row r="1177" spans="1:8" customFormat="1" ht="23.25" thickBot="1" x14ac:dyDescent="0.3">
      <c r="A1177" s="673" t="s">
        <v>3777</v>
      </c>
      <c r="B1177" s="674" t="s">
        <v>1114</v>
      </c>
      <c r="C1177" s="674" t="s">
        <v>3778</v>
      </c>
      <c r="D1177" s="674" t="s">
        <v>1175</v>
      </c>
      <c r="E1177" s="675" t="s">
        <v>56</v>
      </c>
      <c r="F1177" s="676" t="s">
        <v>4919</v>
      </c>
      <c r="G1177" s="676" t="s">
        <v>3780</v>
      </c>
      <c r="H1177" s="677">
        <v>2.5439999999999998E-3</v>
      </c>
    </row>
    <row r="1178" spans="1:8" customFormat="1" ht="15.75" thickTop="1" x14ac:dyDescent="0.25">
      <c r="A1178" s="665"/>
      <c r="B1178" s="666"/>
      <c r="C1178" s="666"/>
      <c r="D1178" s="666"/>
      <c r="E1178" s="666"/>
      <c r="F1178" s="666"/>
      <c r="G1178" s="666"/>
      <c r="H1178" s="667"/>
    </row>
    <row r="1179" spans="1:8" customFormat="1" ht="15" x14ac:dyDescent="0.25">
      <c r="A1179" s="668" t="s">
        <v>3457</v>
      </c>
      <c r="B1179" s="669" t="s">
        <v>3697</v>
      </c>
      <c r="C1179" s="669" t="s">
        <v>3460</v>
      </c>
      <c r="D1179" s="669" t="s">
        <v>3462</v>
      </c>
      <c r="E1179" s="670" t="s">
        <v>69</v>
      </c>
      <c r="F1179" s="671" t="s">
        <v>63</v>
      </c>
      <c r="G1179" s="671" t="s">
        <v>3720</v>
      </c>
      <c r="H1179" s="672" t="s">
        <v>453</v>
      </c>
    </row>
    <row r="1180" spans="1:8" s="658" customFormat="1" ht="22.5" x14ac:dyDescent="0.25">
      <c r="A1180" s="653" t="s">
        <v>3548</v>
      </c>
      <c r="B1180" s="654" t="s">
        <v>3702</v>
      </c>
      <c r="C1180" s="654" t="s">
        <v>3549</v>
      </c>
      <c r="D1180" s="654" t="s">
        <v>3463</v>
      </c>
      <c r="E1180" s="655" t="s">
        <v>56</v>
      </c>
      <c r="F1180" s="656">
        <v>1</v>
      </c>
      <c r="G1180" s="656" t="s">
        <v>3751</v>
      </c>
      <c r="H1180" s="657" t="s">
        <v>3751</v>
      </c>
    </row>
    <row r="1181" spans="1:8" customFormat="1" ht="15" x14ac:dyDescent="0.25">
      <c r="A1181" s="659" t="s">
        <v>3729</v>
      </c>
      <c r="B1181" s="660" t="s">
        <v>1114</v>
      </c>
      <c r="C1181" s="660" t="s">
        <v>1299</v>
      </c>
      <c r="D1181" s="660" t="s">
        <v>3502</v>
      </c>
      <c r="E1181" s="661" t="s">
        <v>1116</v>
      </c>
      <c r="F1181" s="662" t="s">
        <v>3996</v>
      </c>
      <c r="G1181" s="662" t="s">
        <v>3731</v>
      </c>
      <c r="H1181" s="663">
        <v>9.9749999999999996</v>
      </c>
    </row>
    <row r="1182" spans="1:8" customFormat="1" ht="15" x14ac:dyDescent="0.25">
      <c r="A1182" s="659" t="s">
        <v>3732</v>
      </c>
      <c r="B1182" s="660" t="s">
        <v>1114</v>
      </c>
      <c r="C1182" s="660" t="s">
        <v>1287</v>
      </c>
      <c r="D1182" s="660" t="s">
        <v>3502</v>
      </c>
      <c r="E1182" s="661" t="s">
        <v>1116</v>
      </c>
      <c r="F1182" s="662" t="s">
        <v>3996</v>
      </c>
      <c r="G1182" s="662" t="s">
        <v>3734</v>
      </c>
      <c r="H1182" s="663">
        <v>12.235999999999999</v>
      </c>
    </row>
    <row r="1183" spans="1:8" customFormat="1" ht="15.75" thickBot="1" x14ac:dyDescent="0.3">
      <c r="A1183" s="673" t="s">
        <v>4920</v>
      </c>
      <c r="B1183" s="674" t="s">
        <v>1114</v>
      </c>
      <c r="C1183" s="674" t="s">
        <v>4921</v>
      </c>
      <c r="D1183" s="674" t="s">
        <v>1175</v>
      </c>
      <c r="E1183" s="675" t="s">
        <v>56</v>
      </c>
      <c r="F1183" s="676" t="s">
        <v>4626</v>
      </c>
      <c r="G1183" s="676" t="s">
        <v>4216</v>
      </c>
      <c r="H1183" s="677">
        <v>40.559399999999997</v>
      </c>
    </row>
    <row r="1184" spans="1:8" customFormat="1" ht="15.75" thickTop="1" x14ac:dyDescent="0.25">
      <c r="A1184" s="665"/>
      <c r="B1184" s="666"/>
      <c r="C1184" s="666"/>
      <c r="D1184" s="666"/>
      <c r="E1184" s="666"/>
      <c r="F1184" s="666"/>
      <c r="G1184" s="666"/>
      <c r="H1184" s="667"/>
    </row>
    <row r="1185" spans="1:8" customFormat="1" ht="15" x14ac:dyDescent="0.25">
      <c r="A1185" s="668" t="s">
        <v>3457</v>
      </c>
      <c r="B1185" s="669" t="s">
        <v>3697</v>
      </c>
      <c r="C1185" s="669" t="s">
        <v>3460</v>
      </c>
      <c r="D1185" s="669" t="s">
        <v>3462</v>
      </c>
      <c r="E1185" s="670" t="s">
        <v>69</v>
      </c>
      <c r="F1185" s="671" t="s">
        <v>63</v>
      </c>
      <c r="G1185" s="671" t="s">
        <v>3720</v>
      </c>
      <c r="H1185" s="672" t="s">
        <v>453</v>
      </c>
    </row>
    <row r="1186" spans="1:8" s="658" customFormat="1" ht="22.5" x14ac:dyDescent="0.25">
      <c r="A1186" s="653" t="s">
        <v>3510</v>
      </c>
      <c r="B1186" s="654" t="s">
        <v>3702</v>
      </c>
      <c r="C1186" s="654" t="s">
        <v>1346</v>
      </c>
      <c r="D1186" s="654" t="s">
        <v>3512</v>
      </c>
      <c r="E1186" s="655" t="s">
        <v>99</v>
      </c>
      <c r="F1186" s="656">
        <v>1</v>
      </c>
      <c r="G1186" s="656" t="s">
        <v>4524</v>
      </c>
      <c r="H1186" s="657" t="s">
        <v>4524</v>
      </c>
    </row>
    <row r="1187" spans="1:8" customFormat="1" ht="15" x14ac:dyDescent="0.25">
      <c r="A1187" s="659" t="s">
        <v>4922</v>
      </c>
      <c r="B1187" s="660" t="s">
        <v>1114</v>
      </c>
      <c r="C1187" s="660" t="s">
        <v>4923</v>
      </c>
      <c r="D1187" s="660" t="s">
        <v>3502</v>
      </c>
      <c r="E1187" s="661" t="s">
        <v>1116</v>
      </c>
      <c r="F1187" s="662" t="s">
        <v>4924</v>
      </c>
      <c r="G1187" s="662" t="s">
        <v>4925</v>
      </c>
      <c r="H1187" s="663">
        <v>7.3950198000000009</v>
      </c>
    </row>
    <row r="1188" spans="1:8" customFormat="1" ht="15" x14ac:dyDescent="0.25">
      <c r="A1188" s="659" t="s">
        <v>3737</v>
      </c>
      <c r="B1188" s="660" t="s">
        <v>1114</v>
      </c>
      <c r="C1188" s="660" t="s">
        <v>1134</v>
      </c>
      <c r="D1188" s="660" t="s">
        <v>3502</v>
      </c>
      <c r="E1188" s="661" t="s">
        <v>1116</v>
      </c>
      <c r="F1188" s="662" t="s">
        <v>4926</v>
      </c>
      <c r="G1188" s="662" t="s">
        <v>3739</v>
      </c>
      <c r="H1188" s="663">
        <v>9.9219792000000009</v>
      </c>
    </row>
    <row r="1189" spans="1:8" customFormat="1" ht="33.75" x14ac:dyDescent="0.25">
      <c r="A1189" s="659" t="s">
        <v>4927</v>
      </c>
      <c r="B1189" s="660" t="s">
        <v>1114</v>
      </c>
      <c r="C1189" s="660" t="s">
        <v>4928</v>
      </c>
      <c r="D1189" s="660" t="s">
        <v>3873</v>
      </c>
      <c r="E1189" s="661" t="s">
        <v>1157</v>
      </c>
      <c r="F1189" s="662" t="s">
        <v>4929</v>
      </c>
      <c r="G1189" s="662" t="s">
        <v>4930</v>
      </c>
      <c r="H1189" s="663">
        <v>10.804962000000002</v>
      </c>
    </row>
    <row r="1190" spans="1:8" customFormat="1" ht="33.75" x14ac:dyDescent="0.25">
      <c r="A1190" s="659" t="s">
        <v>4931</v>
      </c>
      <c r="B1190" s="660" t="s">
        <v>1114</v>
      </c>
      <c r="C1190" s="660" t="s">
        <v>4932</v>
      </c>
      <c r="D1190" s="660" t="s">
        <v>3873</v>
      </c>
      <c r="E1190" s="661" t="s">
        <v>1159</v>
      </c>
      <c r="F1190" s="662" t="s">
        <v>4933</v>
      </c>
      <c r="G1190" s="662" t="s">
        <v>4934</v>
      </c>
      <c r="H1190" s="663">
        <v>7.8944976000000002</v>
      </c>
    </row>
    <row r="1191" spans="1:8" customFormat="1" ht="15.75" thickBot="1" x14ac:dyDescent="0.3">
      <c r="A1191" s="673" t="s">
        <v>4935</v>
      </c>
      <c r="B1191" s="674" t="s">
        <v>1114</v>
      </c>
      <c r="C1191" s="674" t="s">
        <v>4936</v>
      </c>
      <c r="D1191" s="674" t="s">
        <v>1175</v>
      </c>
      <c r="E1191" s="675" t="s">
        <v>99</v>
      </c>
      <c r="F1191" s="676" t="s">
        <v>3711</v>
      </c>
      <c r="G1191" s="676" t="s">
        <v>4937</v>
      </c>
      <c r="H1191" s="677">
        <v>1204.04</v>
      </c>
    </row>
    <row r="1192" spans="1:8" customFormat="1" ht="15.75" thickTop="1" x14ac:dyDescent="0.25">
      <c r="A1192" s="665"/>
      <c r="B1192" s="666"/>
      <c r="C1192" s="666"/>
      <c r="D1192" s="666"/>
      <c r="E1192" s="666"/>
      <c r="F1192" s="666"/>
      <c r="G1192" s="666"/>
      <c r="H1192" s="667"/>
    </row>
    <row r="1193" spans="1:8" customFormat="1" ht="15" x14ac:dyDescent="0.25">
      <c r="A1193" s="668" t="s">
        <v>3457</v>
      </c>
      <c r="B1193" s="669" t="s">
        <v>3697</v>
      </c>
      <c r="C1193" s="669" t="s">
        <v>3460</v>
      </c>
      <c r="D1193" s="669" t="s">
        <v>3462</v>
      </c>
      <c r="E1193" s="670" t="s">
        <v>69</v>
      </c>
      <c r="F1193" s="671" t="s">
        <v>63</v>
      </c>
      <c r="G1193" s="671" t="s">
        <v>3720</v>
      </c>
      <c r="H1193" s="672" t="s">
        <v>453</v>
      </c>
    </row>
    <row r="1194" spans="1:8" s="658" customFormat="1" ht="22.5" x14ac:dyDescent="0.25">
      <c r="A1194" s="653" t="s">
        <v>3596</v>
      </c>
      <c r="B1194" s="654" t="s">
        <v>3702</v>
      </c>
      <c r="C1194" s="654" t="s">
        <v>3597</v>
      </c>
      <c r="D1194" s="654" t="s">
        <v>3599</v>
      </c>
      <c r="E1194" s="655" t="s">
        <v>56</v>
      </c>
      <c r="F1194" s="656">
        <v>1</v>
      </c>
      <c r="G1194" s="656" t="s">
        <v>4563</v>
      </c>
      <c r="H1194" s="657" t="s">
        <v>4563</v>
      </c>
    </row>
    <row r="1195" spans="1:8" customFormat="1" ht="15" x14ac:dyDescent="0.25">
      <c r="A1195" s="659" t="s">
        <v>3729</v>
      </c>
      <c r="B1195" s="660" t="s">
        <v>1114</v>
      </c>
      <c r="C1195" s="660" t="s">
        <v>1299</v>
      </c>
      <c r="D1195" s="660" t="s">
        <v>3502</v>
      </c>
      <c r="E1195" s="661" t="s">
        <v>1116</v>
      </c>
      <c r="F1195" s="662" t="s">
        <v>4938</v>
      </c>
      <c r="G1195" s="662" t="s">
        <v>3731</v>
      </c>
      <c r="H1195" s="663">
        <v>8.692499999999999</v>
      </c>
    </row>
    <row r="1196" spans="1:8" customFormat="1" ht="15" x14ac:dyDescent="0.25">
      <c r="A1196" s="659" t="s">
        <v>3732</v>
      </c>
      <c r="B1196" s="660" t="s">
        <v>1114</v>
      </c>
      <c r="C1196" s="660" t="s">
        <v>1287</v>
      </c>
      <c r="D1196" s="660" t="s">
        <v>3502</v>
      </c>
      <c r="E1196" s="661" t="s">
        <v>1116</v>
      </c>
      <c r="F1196" s="662" t="s">
        <v>4938</v>
      </c>
      <c r="G1196" s="662" t="s">
        <v>3734</v>
      </c>
      <c r="H1196" s="663">
        <v>10.662800000000001</v>
      </c>
    </row>
    <row r="1197" spans="1:8" customFormat="1" ht="15" x14ac:dyDescent="0.25">
      <c r="A1197" s="673" t="s">
        <v>4286</v>
      </c>
      <c r="B1197" s="674" t="s">
        <v>1114</v>
      </c>
      <c r="C1197" s="674" t="s">
        <v>1305</v>
      </c>
      <c r="D1197" s="674" t="s">
        <v>1175</v>
      </c>
      <c r="E1197" s="675" t="s">
        <v>56</v>
      </c>
      <c r="F1197" s="676" t="s">
        <v>4939</v>
      </c>
      <c r="G1197" s="676" t="s">
        <v>4288</v>
      </c>
      <c r="H1197" s="678">
        <v>0.11524799999999999</v>
      </c>
    </row>
    <row r="1198" spans="1:8" customFormat="1" ht="15.75" thickBot="1" x14ac:dyDescent="0.3">
      <c r="A1198" s="673" t="s">
        <v>4940</v>
      </c>
      <c r="B1198" s="674" t="s">
        <v>1114</v>
      </c>
      <c r="C1198" s="674" t="s">
        <v>4941</v>
      </c>
      <c r="D1198" s="674" t="s">
        <v>1175</v>
      </c>
      <c r="E1198" s="675" t="s">
        <v>56</v>
      </c>
      <c r="F1198" s="676" t="s">
        <v>3711</v>
      </c>
      <c r="G1198" s="676" t="s">
        <v>4942</v>
      </c>
      <c r="H1198" s="677">
        <v>22.87</v>
      </c>
    </row>
    <row r="1199" spans="1:8" customFormat="1" ht="15.75" thickTop="1" x14ac:dyDescent="0.25">
      <c r="A1199" s="665"/>
      <c r="B1199" s="666"/>
      <c r="C1199" s="666"/>
      <c r="D1199" s="666"/>
      <c r="E1199" s="666"/>
      <c r="F1199" s="666"/>
      <c r="G1199" s="666"/>
      <c r="H1199" s="667"/>
    </row>
    <row r="1200" spans="1:8" customFormat="1" ht="15" x14ac:dyDescent="0.25">
      <c r="A1200" s="668" t="s">
        <v>3457</v>
      </c>
      <c r="B1200" s="669" t="s">
        <v>3697</v>
      </c>
      <c r="C1200" s="669" t="s">
        <v>3460</v>
      </c>
      <c r="D1200" s="669" t="s">
        <v>3462</v>
      </c>
      <c r="E1200" s="670" t="s">
        <v>69</v>
      </c>
      <c r="F1200" s="671" t="s">
        <v>63</v>
      </c>
      <c r="G1200" s="671" t="s">
        <v>3720</v>
      </c>
      <c r="H1200" s="672" t="s">
        <v>453</v>
      </c>
    </row>
    <row r="1201" spans="1:8" s="658" customFormat="1" ht="22.5" x14ac:dyDescent="0.25">
      <c r="A1201" s="653" t="s">
        <v>3630</v>
      </c>
      <c r="B1201" s="654" t="s">
        <v>3702</v>
      </c>
      <c r="C1201" s="654" t="s">
        <v>1600</v>
      </c>
      <c r="D1201" s="654" t="s">
        <v>3502</v>
      </c>
      <c r="E1201" s="655" t="s">
        <v>1116</v>
      </c>
      <c r="F1201" s="656">
        <v>1</v>
      </c>
      <c r="G1201" s="656" t="s">
        <v>3717</v>
      </c>
      <c r="H1201" s="657" t="s">
        <v>3717</v>
      </c>
    </row>
    <row r="1202" spans="1:8" customFormat="1" ht="15" x14ac:dyDescent="0.25">
      <c r="A1202" s="673" t="s">
        <v>4943</v>
      </c>
      <c r="B1202" s="674" t="s">
        <v>1114</v>
      </c>
      <c r="C1202" s="674" t="s">
        <v>1595</v>
      </c>
      <c r="D1202" s="674" t="s">
        <v>1174</v>
      </c>
      <c r="E1202" s="675" t="s">
        <v>1116</v>
      </c>
      <c r="F1202" s="676" t="s">
        <v>3711</v>
      </c>
      <c r="G1202" s="676" t="s">
        <v>4944</v>
      </c>
      <c r="H1202" s="678">
        <v>8.98</v>
      </c>
    </row>
    <row r="1203" spans="1:8" customFormat="1" ht="15" x14ac:dyDescent="0.25">
      <c r="A1203" s="673" t="s">
        <v>4945</v>
      </c>
      <c r="B1203" s="674" t="s">
        <v>1114</v>
      </c>
      <c r="C1203" s="674" t="s">
        <v>1596</v>
      </c>
      <c r="D1203" s="674" t="s">
        <v>4946</v>
      </c>
      <c r="E1203" s="675" t="s">
        <v>1116</v>
      </c>
      <c r="F1203" s="676" t="s">
        <v>3711</v>
      </c>
      <c r="G1203" s="676" t="s">
        <v>4947</v>
      </c>
      <c r="H1203" s="678">
        <v>2.15</v>
      </c>
    </row>
    <row r="1204" spans="1:8" customFormat="1" ht="15" x14ac:dyDescent="0.25">
      <c r="A1204" s="673" t="s">
        <v>4948</v>
      </c>
      <c r="B1204" s="674" t="s">
        <v>1114</v>
      </c>
      <c r="C1204" s="674" t="s">
        <v>1597</v>
      </c>
      <c r="D1204" s="674" t="s">
        <v>60</v>
      </c>
      <c r="E1204" s="675" t="s">
        <v>1116</v>
      </c>
      <c r="F1204" s="676" t="s">
        <v>3711</v>
      </c>
      <c r="G1204" s="676" t="s">
        <v>4949</v>
      </c>
      <c r="H1204" s="678">
        <v>0.6</v>
      </c>
    </row>
    <row r="1205" spans="1:8" customFormat="1" ht="15" x14ac:dyDescent="0.25">
      <c r="A1205" s="673" t="s">
        <v>4950</v>
      </c>
      <c r="B1205" s="674" t="s">
        <v>1114</v>
      </c>
      <c r="C1205" s="674" t="s">
        <v>4951</v>
      </c>
      <c r="D1205" s="674" t="s">
        <v>4946</v>
      </c>
      <c r="E1205" s="675" t="s">
        <v>1116</v>
      </c>
      <c r="F1205" s="676" t="s">
        <v>3711</v>
      </c>
      <c r="G1205" s="676" t="s">
        <v>4425</v>
      </c>
      <c r="H1205" s="678">
        <v>0.34</v>
      </c>
    </row>
    <row r="1206" spans="1:8" customFormat="1" ht="15" x14ac:dyDescent="0.25">
      <c r="A1206" s="679" t="s">
        <v>4952</v>
      </c>
      <c r="B1206" s="680" t="s">
        <v>1114</v>
      </c>
      <c r="C1206" s="680" t="s">
        <v>1598</v>
      </c>
      <c r="D1206" s="680" t="s">
        <v>4953</v>
      </c>
      <c r="E1206" s="681" t="s">
        <v>1116</v>
      </c>
      <c r="F1206" s="682" t="s">
        <v>3711</v>
      </c>
      <c r="G1206" s="682" t="s">
        <v>4186</v>
      </c>
      <c r="H1206" s="683">
        <v>7.0000000000000007E-2</v>
      </c>
    </row>
    <row r="1207" spans="1:8" customFormat="1" ht="15" x14ac:dyDescent="0.25">
      <c r="A1207" s="684"/>
      <c r="B1207" s="684"/>
      <c r="C1207" s="684"/>
      <c r="D1207" s="684"/>
      <c r="E1207" s="684"/>
      <c r="F1207" s="684"/>
      <c r="G1207" s="684"/>
      <c r="H1207" s="685"/>
    </row>
  </sheetData>
  <mergeCells count="1">
    <mergeCell ref="A1:H1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58" orientation="portrait" r:id="rId1"/>
  <headerFooter>
    <oddHeader>&amp;L&amp;G&amp;C&amp;8&amp;K01+048GOVERNO DO ESTADO DE MATO GROSSO
SECRETARIA DE ESTADO DE EDUCAÇÃO
SECRETARIA ADJUNTA DE ESTRUTURA ESCOLAR&amp;R&amp;G</oddHeader>
    <oddFooter>&amp;L&amp;9&amp;K01+047Secretaria de Estado de Educação, Esporte e Lazer de Mato Grosso
Rua Engenheiro Edgar Prado Arze, 215 - Centro Político Administrativo
CEP: 78049-909 | Cuiabá-MT
Fone: (65) 3613-6300&amp;R&amp;A</oddFooter>
  </headerFooter>
  <rowBreaks count="15" manualBreakCount="15">
    <brk id="64" max="7" man="1"/>
    <brk id="129" max="7" man="1"/>
    <brk id="188" max="7" man="1"/>
    <brk id="248" max="7" man="1"/>
    <brk id="313" max="7" man="1"/>
    <brk id="364" max="7" man="1"/>
    <brk id="419" max="7" man="1"/>
    <brk id="491" max="7" man="1"/>
    <brk id="641" max="7" man="1"/>
    <brk id="816" max="7" man="1"/>
    <brk id="945" max="7" man="1"/>
    <brk id="1008" max="7" man="1"/>
    <brk id="1073" max="7" man="1"/>
    <brk id="1136" max="7" man="1"/>
    <brk id="1198" max="7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BZ78"/>
  <sheetViews>
    <sheetView workbookViewId="0">
      <selection activeCell="F10" sqref="F10"/>
    </sheetView>
  </sheetViews>
  <sheetFormatPr defaultRowHeight="12.75" x14ac:dyDescent="0.25"/>
  <cols>
    <col min="1" max="1" width="6.85546875" style="322" bestFit="1" customWidth="1"/>
    <col min="2" max="2" width="23.28515625" style="567" customWidth="1"/>
    <col min="3" max="3" width="45.42578125" style="323" customWidth="1"/>
    <col min="4" max="4" width="7.140625" style="323" customWidth="1"/>
    <col min="5" max="5" width="8.42578125" style="323" bestFit="1" customWidth="1"/>
    <col min="6" max="6" width="10.7109375" style="324" customWidth="1"/>
    <col min="7" max="7" width="10.5703125" style="325" customWidth="1"/>
    <col min="8" max="8" width="38.42578125" style="323" customWidth="1"/>
    <col min="9" max="9" width="10.85546875" style="323" customWidth="1"/>
    <col min="10" max="11" width="11" style="323" customWidth="1"/>
    <col min="12" max="12" width="16.85546875" style="323" customWidth="1"/>
    <col min="13" max="13" width="9.140625" style="323"/>
    <col min="14" max="14" width="11.85546875" style="323" customWidth="1"/>
    <col min="15" max="16384" width="9.140625" style="323"/>
  </cols>
  <sheetData>
    <row r="1" spans="1:78" s="292" customFormat="1" ht="15" x14ac:dyDescent="0.25">
      <c r="A1" s="738" t="s">
        <v>57</v>
      </c>
      <c r="B1" s="738"/>
      <c r="C1" s="738"/>
      <c r="D1" s="738"/>
      <c r="E1" s="738"/>
      <c r="F1" s="264"/>
      <c r="G1" s="265"/>
    </row>
    <row r="2" spans="1:78" s="295" customFormat="1" ht="12.75" customHeight="1" x14ac:dyDescent="0.2">
      <c r="A2" s="739" t="s">
        <v>58</v>
      </c>
      <c r="B2" s="740"/>
      <c r="C2" s="740"/>
      <c r="D2" s="740"/>
      <c r="E2" s="741"/>
      <c r="F2" s="293"/>
      <c r="G2" s="293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</row>
    <row r="3" spans="1:78" s="295" customFormat="1" x14ac:dyDescent="0.2">
      <c r="A3" s="296" t="s">
        <v>59</v>
      </c>
      <c r="B3" s="566" t="s">
        <v>60</v>
      </c>
      <c r="C3" s="297" t="s">
        <v>61</v>
      </c>
      <c r="D3" s="296" t="s">
        <v>62</v>
      </c>
      <c r="E3" s="296" t="s">
        <v>63</v>
      </c>
      <c r="F3" s="293"/>
      <c r="G3" s="293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</row>
    <row r="4" spans="1:78" s="256" customFormat="1" ht="15" x14ac:dyDescent="0.25">
      <c r="A4" s="251" t="s">
        <v>16</v>
      </c>
      <c r="B4" s="253" t="s">
        <v>1819</v>
      </c>
      <c r="C4" s="253" t="s">
        <v>1820</v>
      </c>
      <c r="D4" s="251" t="s">
        <v>10</v>
      </c>
      <c r="E4" s="261">
        <v>1566.94</v>
      </c>
      <c r="F4" s="326">
        <f>ROUND(E4,2)</f>
        <v>1566.94</v>
      </c>
      <c r="G4" s="265" t="s">
        <v>64</v>
      </c>
      <c r="H4" s="330" t="s">
        <v>2084</v>
      </c>
    </row>
    <row r="5" spans="1:78" s="301" customFormat="1" ht="12.75" customHeight="1" x14ac:dyDescent="0.2">
      <c r="A5" s="742" t="s">
        <v>1821</v>
      </c>
      <c r="B5" s="743"/>
      <c r="C5" s="743"/>
      <c r="D5" s="743"/>
      <c r="E5" s="744"/>
      <c r="F5" s="299"/>
      <c r="G5" s="300"/>
    </row>
    <row r="6" spans="1:78" s="301" customFormat="1" ht="12.75" customHeight="1" x14ac:dyDescent="0.2">
      <c r="A6" s="302" t="s">
        <v>59</v>
      </c>
      <c r="B6" s="303" t="s">
        <v>60</v>
      </c>
      <c r="C6" s="303" t="s">
        <v>61</v>
      </c>
      <c r="D6" s="302" t="s">
        <v>62</v>
      </c>
      <c r="E6" s="302" t="s">
        <v>63</v>
      </c>
      <c r="F6" s="299"/>
      <c r="G6" s="300"/>
    </row>
    <row r="7" spans="1:78" s="306" customFormat="1" ht="180" x14ac:dyDescent="0.2">
      <c r="A7" s="304" t="s">
        <v>18</v>
      </c>
      <c r="B7" s="253" t="s">
        <v>209</v>
      </c>
      <c r="C7" s="259" t="s">
        <v>2685</v>
      </c>
      <c r="D7" s="258" t="s">
        <v>10</v>
      </c>
      <c r="E7" s="441">
        <f>17.71+9.57+17.51+9.57+239.62</f>
        <v>293.98</v>
      </c>
      <c r="F7" s="266">
        <f>ROUND(E7,2)</f>
        <v>293.98</v>
      </c>
      <c r="G7" s="265" t="s">
        <v>64</v>
      </c>
      <c r="H7" s="305"/>
    </row>
    <row r="8" spans="1:78" s="264" customFormat="1" ht="15" x14ac:dyDescent="0.25">
      <c r="A8" s="734" t="s">
        <v>93</v>
      </c>
      <c r="B8" s="734"/>
      <c r="C8" s="734"/>
      <c r="D8" s="734"/>
      <c r="E8" s="734"/>
      <c r="F8" s="298"/>
      <c r="G8" s="307"/>
    </row>
    <row r="9" spans="1:78" s="264" customFormat="1" ht="15" x14ac:dyDescent="0.25">
      <c r="A9" s="308" t="s">
        <v>59</v>
      </c>
      <c r="B9" s="551" t="s">
        <v>60</v>
      </c>
      <c r="C9" s="309" t="s">
        <v>61</v>
      </c>
      <c r="D9" s="308" t="s">
        <v>62</v>
      </c>
      <c r="E9" s="308" t="s">
        <v>63</v>
      </c>
      <c r="F9" s="298"/>
      <c r="G9" s="307"/>
    </row>
    <row r="10" spans="1:78" s="256" customFormat="1" ht="180" x14ac:dyDescent="0.25">
      <c r="A10" s="251" t="s">
        <v>21</v>
      </c>
      <c r="B10" s="253" t="s">
        <v>1822</v>
      </c>
      <c r="C10" s="259" t="s">
        <v>2686</v>
      </c>
      <c r="D10" s="258" t="s">
        <v>10</v>
      </c>
      <c r="E10" s="260">
        <f>(((37.65*3.35)-13)+331+562.72+338.5+397.4)</f>
        <v>1742.7474999999999</v>
      </c>
      <c r="F10" s="266">
        <f>ROUND(E10,2)</f>
        <v>1742.75</v>
      </c>
      <c r="G10" s="265" t="s">
        <v>64</v>
      </c>
      <c r="H10" s="310"/>
    </row>
    <row r="11" spans="1:78" s="256" customFormat="1" ht="60" x14ac:dyDescent="0.25">
      <c r="A11" s="251" t="s">
        <v>22</v>
      </c>
      <c r="B11" s="253" t="s">
        <v>1823</v>
      </c>
      <c r="C11" s="259" t="s">
        <v>2634</v>
      </c>
      <c r="D11" s="361" t="s">
        <v>10</v>
      </c>
      <c r="E11" s="258">
        <f>60.5+60.5+105.6+105.6</f>
        <v>332.2</v>
      </c>
      <c r="F11" s="266">
        <f>ROUND(E11,2)</f>
        <v>332.2</v>
      </c>
      <c r="G11" s="265" t="s">
        <v>64</v>
      </c>
    </row>
    <row r="12" spans="1:78" s="256" customFormat="1" ht="45" x14ac:dyDescent="0.25">
      <c r="A12" s="251" t="s">
        <v>1824</v>
      </c>
      <c r="B12" s="259" t="s">
        <v>1825</v>
      </c>
      <c r="C12" s="312" t="s">
        <v>1826</v>
      </c>
      <c r="D12" s="258" t="s">
        <v>99</v>
      </c>
      <c r="E12" s="260">
        <f>1.3*4</f>
        <v>5.2</v>
      </c>
      <c r="F12" s="266">
        <f t="shared" ref="F12" si="0">ROUND(E12,2)</f>
        <v>5.2</v>
      </c>
      <c r="G12" s="265" t="s">
        <v>64</v>
      </c>
      <c r="H12" s="310"/>
    </row>
    <row r="13" spans="1:78" s="256" customFormat="1" ht="30" x14ac:dyDescent="0.25">
      <c r="A13" s="251" t="s">
        <v>1827</v>
      </c>
      <c r="B13" s="259" t="s">
        <v>1828</v>
      </c>
      <c r="C13" s="259" t="s">
        <v>1829</v>
      </c>
      <c r="D13" s="258" t="s">
        <v>99</v>
      </c>
      <c r="E13" s="260">
        <f>(1.2*2)</f>
        <v>2.4</v>
      </c>
      <c r="F13" s="266">
        <f>ROUND(E13,2)</f>
        <v>2.4</v>
      </c>
      <c r="G13" s="265" t="s">
        <v>64</v>
      </c>
      <c r="H13" s="310"/>
    </row>
    <row r="14" spans="1:78" s="256" customFormat="1" ht="30" x14ac:dyDescent="0.25">
      <c r="A14" s="251" t="s">
        <v>1830</v>
      </c>
      <c r="B14" s="259" t="s">
        <v>1831</v>
      </c>
      <c r="C14" s="259" t="s">
        <v>1832</v>
      </c>
      <c r="D14" s="258" t="s">
        <v>99</v>
      </c>
      <c r="E14" s="260">
        <f>(3.4*2)</f>
        <v>6.8</v>
      </c>
      <c r="F14" s="266">
        <f>ROUND(E14,2)</f>
        <v>6.8</v>
      </c>
      <c r="G14" s="265" t="s">
        <v>64</v>
      </c>
      <c r="H14" s="310"/>
    </row>
    <row r="15" spans="1:78" s="256" customFormat="1" ht="30" x14ac:dyDescent="0.25">
      <c r="A15" s="251" t="s">
        <v>1833</v>
      </c>
      <c r="B15" s="259" t="s">
        <v>1834</v>
      </c>
      <c r="C15" s="312" t="s">
        <v>1835</v>
      </c>
      <c r="D15" s="258" t="s">
        <v>99</v>
      </c>
      <c r="E15" s="260">
        <f>(1.2*2)</f>
        <v>2.4</v>
      </c>
      <c r="F15" s="266">
        <f t="shared" ref="F15:F16" si="1">ROUND(E15,2)</f>
        <v>2.4</v>
      </c>
      <c r="G15" s="265" t="s">
        <v>64</v>
      </c>
    </row>
    <row r="16" spans="1:78" s="256" customFormat="1" ht="30" x14ac:dyDescent="0.25">
      <c r="A16" s="251" t="s">
        <v>1836</v>
      </c>
      <c r="B16" s="259" t="s">
        <v>1837</v>
      </c>
      <c r="C16" s="312" t="s">
        <v>1838</v>
      </c>
      <c r="D16" s="258" t="s">
        <v>99</v>
      </c>
      <c r="E16" s="260">
        <f>(3.4*2)</f>
        <v>6.8</v>
      </c>
      <c r="F16" s="266">
        <f t="shared" si="1"/>
        <v>6.8</v>
      </c>
      <c r="G16" s="265" t="s">
        <v>64</v>
      </c>
    </row>
    <row r="17" spans="1:7" s="256" customFormat="1" ht="15" x14ac:dyDescent="0.25">
      <c r="A17" s="734" t="s">
        <v>74</v>
      </c>
      <c r="B17" s="734"/>
      <c r="C17" s="734"/>
      <c r="D17" s="734"/>
      <c r="E17" s="734"/>
      <c r="F17" s="298"/>
      <c r="G17" s="255"/>
    </row>
    <row r="18" spans="1:7" s="256" customFormat="1" ht="15" x14ac:dyDescent="0.25">
      <c r="A18" s="308" t="s">
        <v>59</v>
      </c>
      <c r="B18" s="551" t="s">
        <v>60</v>
      </c>
      <c r="C18" s="309" t="s">
        <v>61</v>
      </c>
      <c r="D18" s="308" t="s">
        <v>62</v>
      </c>
      <c r="E18" s="308" t="s">
        <v>63</v>
      </c>
      <c r="F18" s="298"/>
      <c r="G18" s="255"/>
    </row>
    <row r="19" spans="1:7" s="256" customFormat="1" ht="30" x14ac:dyDescent="0.25">
      <c r="A19" s="251" t="s">
        <v>24</v>
      </c>
      <c r="B19" s="253" t="s">
        <v>1839</v>
      </c>
      <c r="C19" s="253" t="s">
        <v>1840</v>
      </c>
      <c r="D19" s="251" t="s">
        <v>10</v>
      </c>
      <c r="E19" s="261">
        <f>73.93+1461.18</f>
        <v>1535.1100000000001</v>
      </c>
      <c r="F19" s="266">
        <f>ROUND(E19,2)</f>
        <v>1535.11</v>
      </c>
      <c r="G19" s="265" t="s">
        <v>64</v>
      </c>
    </row>
    <row r="20" spans="1:7" s="256" customFormat="1" ht="30" x14ac:dyDescent="0.25">
      <c r="A20" s="251" t="s">
        <v>25</v>
      </c>
      <c r="B20" s="253" t="s">
        <v>1841</v>
      </c>
      <c r="C20" s="253" t="s">
        <v>1842</v>
      </c>
      <c r="D20" s="251" t="s">
        <v>99</v>
      </c>
      <c r="E20" s="261">
        <f>49.7+49.7+16.26</f>
        <v>115.66000000000001</v>
      </c>
      <c r="F20" s="266">
        <f>ROUND(E20,2)</f>
        <v>115.66</v>
      </c>
      <c r="G20" s="265" t="s">
        <v>64</v>
      </c>
    </row>
    <row r="21" spans="1:7" s="256" customFormat="1" ht="30" x14ac:dyDescent="0.25">
      <c r="A21" s="251" t="s">
        <v>26</v>
      </c>
      <c r="B21" s="253" t="s">
        <v>1843</v>
      </c>
      <c r="C21" s="253" t="s">
        <v>1842</v>
      </c>
      <c r="D21" s="251" t="s">
        <v>99</v>
      </c>
      <c r="E21" s="261">
        <f>49.7+49.7+16.26</f>
        <v>115.66000000000001</v>
      </c>
      <c r="F21" s="266">
        <f>ROUND(E21,2)</f>
        <v>115.66</v>
      </c>
      <c r="G21" s="265" t="s">
        <v>64</v>
      </c>
    </row>
    <row r="22" spans="1:7" s="256" customFormat="1" ht="15" x14ac:dyDescent="0.25">
      <c r="A22" s="251" t="s">
        <v>27</v>
      </c>
      <c r="B22" s="253" t="s">
        <v>1844</v>
      </c>
      <c r="C22" s="253" t="s">
        <v>1845</v>
      </c>
      <c r="D22" s="251" t="s">
        <v>99</v>
      </c>
      <c r="E22" s="261">
        <f>49.7+49.7</f>
        <v>99.4</v>
      </c>
      <c r="F22" s="266">
        <f>ROUND(E22,2)</f>
        <v>99.4</v>
      </c>
      <c r="G22" s="265" t="s">
        <v>64</v>
      </c>
    </row>
    <row r="23" spans="1:7" s="314" customFormat="1" ht="15" x14ac:dyDescent="0.25">
      <c r="A23" s="732" t="s">
        <v>78</v>
      </c>
      <c r="B23" s="732"/>
      <c r="C23" s="732"/>
      <c r="D23" s="732"/>
      <c r="E23" s="732"/>
      <c r="F23" s="298"/>
      <c r="G23" s="313"/>
    </row>
    <row r="24" spans="1:7" s="292" customFormat="1" ht="15" x14ac:dyDescent="0.25">
      <c r="A24" s="308" t="s">
        <v>59</v>
      </c>
      <c r="B24" s="315" t="s">
        <v>60</v>
      </c>
      <c r="C24" s="315" t="s">
        <v>61</v>
      </c>
      <c r="D24" s="308" t="s">
        <v>62</v>
      </c>
      <c r="E24" s="308" t="s">
        <v>63</v>
      </c>
      <c r="F24" s="298"/>
      <c r="G24" s="316"/>
    </row>
    <row r="25" spans="1:7" s="256" customFormat="1" ht="30" x14ac:dyDescent="0.25">
      <c r="A25" s="251" t="s">
        <v>30</v>
      </c>
      <c r="B25" s="253" t="s">
        <v>1846</v>
      </c>
      <c r="C25" s="253" t="s">
        <v>1847</v>
      </c>
      <c r="D25" s="311" t="s">
        <v>56</v>
      </c>
      <c r="E25" s="261">
        <v>4</v>
      </c>
      <c r="F25" s="266">
        <f>E25</f>
        <v>4</v>
      </c>
      <c r="G25" s="265" t="s">
        <v>64</v>
      </c>
    </row>
    <row r="26" spans="1:7" s="256" customFormat="1" ht="45" x14ac:dyDescent="0.25">
      <c r="A26" s="251" t="s">
        <v>31</v>
      </c>
      <c r="B26" s="253" t="s">
        <v>1848</v>
      </c>
      <c r="C26" s="253" t="s">
        <v>1849</v>
      </c>
      <c r="D26" s="328" t="s">
        <v>10</v>
      </c>
      <c r="E26" s="261">
        <f>0.6*1.7*10</f>
        <v>10.199999999999999</v>
      </c>
      <c r="F26" s="266">
        <f>E26</f>
        <v>10.199999999999999</v>
      </c>
      <c r="G26" s="265" t="s">
        <v>64</v>
      </c>
    </row>
    <row r="27" spans="1:7" s="256" customFormat="1" ht="30" x14ac:dyDescent="0.25">
      <c r="A27" s="251" t="s">
        <v>83</v>
      </c>
      <c r="B27" s="253" t="s">
        <v>1850</v>
      </c>
      <c r="C27" s="253" t="s">
        <v>1851</v>
      </c>
      <c r="D27" s="251" t="s">
        <v>10</v>
      </c>
      <c r="E27" s="261">
        <f>3*0.8*2</f>
        <v>4.8000000000000007</v>
      </c>
      <c r="F27" s="266">
        <f>E27</f>
        <v>4.8000000000000007</v>
      </c>
      <c r="G27" s="265" t="s">
        <v>64</v>
      </c>
    </row>
    <row r="28" spans="1:7" s="256" customFormat="1" ht="30" x14ac:dyDescent="0.25">
      <c r="A28" s="251" t="s">
        <v>84</v>
      </c>
      <c r="B28" s="253" t="s">
        <v>1852</v>
      </c>
      <c r="C28" s="253" t="s">
        <v>1851</v>
      </c>
      <c r="D28" s="251" t="s">
        <v>10</v>
      </c>
      <c r="E28" s="261">
        <f>0.8*0.4*2</f>
        <v>0.64000000000000012</v>
      </c>
      <c r="F28" s="266">
        <f>E28</f>
        <v>0.64000000000000012</v>
      </c>
      <c r="G28" s="265" t="s">
        <v>64</v>
      </c>
    </row>
    <row r="29" spans="1:7" s="292" customFormat="1" ht="15" x14ac:dyDescent="0.25">
      <c r="A29" s="732" t="s">
        <v>107</v>
      </c>
      <c r="B29" s="732"/>
      <c r="C29" s="732"/>
      <c r="D29" s="732"/>
      <c r="E29" s="732"/>
      <c r="F29" s="298"/>
      <c r="G29" s="265"/>
    </row>
    <row r="30" spans="1:7" s="292" customFormat="1" ht="15" x14ac:dyDescent="0.25">
      <c r="A30" s="308" t="s">
        <v>59</v>
      </c>
      <c r="B30" s="551" t="s">
        <v>60</v>
      </c>
      <c r="C30" s="309" t="s">
        <v>61</v>
      </c>
      <c r="D30" s="308" t="s">
        <v>62</v>
      </c>
      <c r="E30" s="308" t="s">
        <v>63</v>
      </c>
      <c r="F30" s="298"/>
      <c r="G30" s="265"/>
    </row>
    <row r="31" spans="1:7" s="256" customFormat="1" ht="60" x14ac:dyDescent="0.25">
      <c r="A31" s="251" t="s">
        <v>33</v>
      </c>
      <c r="B31" s="253" t="s">
        <v>109</v>
      </c>
      <c r="C31" s="317" t="s">
        <v>2109</v>
      </c>
      <c r="D31" s="251" t="s">
        <v>10</v>
      </c>
      <c r="E31" s="261">
        <f>(E10*2)+279.09+(9*1.7*3.2)</f>
        <v>3813.5450000000001</v>
      </c>
      <c r="F31" s="266">
        <f>ROUND(E31,2)</f>
        <v>3813.55</v>
      </c>
      <c r="G31" s="265" t="s">
        <v>64</v>
      </c>
    </row>
    <row r="32" spans="1:7" s="256" customFormat="1" ht="75" x14ac:dyDescent="0.25">
      <c r="A32" s="251" t="s">
        <v>122</v>
      </c>
      <c r="B32" s="253" t="s">
        <v>1853</v>
      </c>
      <c r="C32" s="312" t="s">
        <v>2317</v>
      </c>
      <c r="D32" s="258" t="s">
        <v>10</v>
      </c>
      <c r="E32" s="260">
        <f>E31-E33</f>
        <v>3607.5950000000003</v>
      </c>
      <c r="F32" s="266">
        <f>ROUND(E32,2)</f>
        <v>3607.6</v>
      </c>
      <c r="G32" s="265" t="s">
        <v>64</v>
      </c>
    </row>
    <row r="33" spans="1:8" s="256" customFormat="1" ht="120" x14ac:dyDescent="0.25">
      <c r="A33" s="251" t="s">
        <v>123</v>
      </c>
      <c r="B33" s="253" t="s">
        <v>1854</v>
      </c>
      <c r="C33" s="259" t="s">
        <v>2110</v>
      </c>
      <c r="D33" s="258" t="s">
        <v>10</v>
      </c>
      <c r="E33" s="260">
        <f>97.71+55.39+29.9+(9*1.7*1.5)</f>
        <v>205.95</v>
      </c>
      <c r="F33" s="266">
        <f>ROUND(E33,2)</f>
        <v>205.95</v>
      </c>
      <c r="G33" s="265" t="s">
        <v>64</v>
      </c>
    </row>
    <row r="34" spans="1:8" s="256" customFormat="1" ht="120" x14ac:dyDescent="0.25">
      <c r="A34" s="251" t="s">
        <v>289</v>
      </c>
      <c r="B34" s="253" t="s">
        <v>1855</v>
      </c>
      <c r="C34" s="259" t="s">
        <v>2110</v>
      </c>
      <c r="D34" s="258" t="s">
        <v>10</v>
      </c>
      <c r="E34" s="260">
        <f>97.71+55.39+29.9+(9*1.7*1.5)</f>
        <v>205.95</v>
      </c>
      <c r="F34" s="266">
        <f>ROUND(E34,2)</f>
        <v>205.95</v>
      </c>
      <c r="G34" s="265" t="s">
        <v>64</v>
      </c>
    </row>
    <row r="35" spans="1:8" s="256" customFormat="1" ht="180" x14ac:dyDescent="0.25">
      <c r="A35" s="251" t="s">
        <v>290</v>
      </c>
      <c r="B35" s="253" t="s">
        <v>1856</v>
      </c>
      <c r="C35" s="259" t="s">
        <v>2541</v>
      </c>
      <c r="D35" s="258" t="s">
        <v>10</v>
      </c>
      <c r="E35" s="260">
        <f>15.58+17.58+15.58+11.1+14.34+11.1+(7*1.7*1.5)+(1*1.2*1.5)</f>
        <v>104.92999999999999</v>
      </c>
      <c r="F35" s="266">
        <f>ROUND(E35,2)</f>
        <v>104.93</v>
      </c>
      <c r="G35" s="265" t="s">
        <v>64</v>
      </c>
    </row>
    <row r="36" spans="1:8" s="292" customFormat="1" ht="15" x14ac:dyDescent="0.25">
      <c r="A36" s="734" t="s">
        <v>11</v>
      </c>
      <c r="B36" s="734"/>
      <c r="C36" s="734"/>
      <c r="D36" s="734"/>
      <c r="E36" s="734"/>
      <c r="F36" s="298"/>
      <c r="G36" s="255"/>
    </row>
    <row r="37" spans="1:8" s="292" customFormat="1" ht="15" x14ac:dyDescent="0.25">
      <c r="A37" s="308" t="s">
        <v>59</v>
      </c>
      <c r="B37" s="551" t="s">
        <v>60</v>
      </c>
      <c r="C37" s="309" t="s">
        <v>1857</v>
      </c>
      <c r="D37" s="308" t="s">
        <v>62</v>
      </c>
      <c r="E37" s="308" t="s">
        <v>63</v>
      </c>
      <c r="F37" s="298"/>
      <c r="G37" s="255"/>
    </row>
    <row r="38" spans="1:8" s="256" customFormat="1" ht="60" x14ac:dyDescent="0.25">
      <c r="A38" s="251" t="s">
        <v>94</v>
      </c>
      <c r="B38" s="253" t="s">
        <v>1858</v>
      </c>
      <c r="C38" s="253" t="s">
        <v>1859</v>
      </c>
      <c r="D38" s="251" t="s">
        <v>10</v>
      </c>
      <c r="E38" s="329"/>
      <c r="F38" s="298">
        <f>ROUND(E38,2)</f>
        <v>0</v>
      </c>
      <c r="G38" s="265" t="s">
        <v>64</v>
      </c>
      <c r="H38" s="330" t="s">
        <v>1906</v>
      </c>
    </row>
    <row r="39" spans="1:8" s="256" customFormat="1" ht="60" x14ac:dyDescent="0.25">
      <c r="A39" s="251" t="s">
        <v>95</v>
      </c>
      <c r="B39" s="253" t="s">
        <v>1860</v>
      </c>
      <c r="C39" s="253" t="s">
        <v>1859</v>
      </c>
      <c r="D39" s="251" t="s">
        <v>10</v>
      </c>
      <c r="E39" s="329"/>
      <c r="F39" s="298">
        <f>ROUND(E39,2)</f>
        <v>0</v>
      </c>
      <c r="G39" s="265" t="s">
        <v>64</v>
      </c>
      <c r="H39" s="330" t="s">
        <v>1906</v>
      </c>
    </row>
    <row r="40" spans="1:8" s="256" customFormat="1" ht="45" x14ac:dyDescent="0.25">
      <c r="A40" s="251" t="s">
        <v>97</v>
      </c>
      <c r="B40" s="259" t="s">
        <v>1861</v>
      </c>
      <c r="C40" s="253" t="s">
        <v>1862</v>
      </c>
      <c r="D40" s="251" t="s">
        <v>10</v>
      </c>
      <c r="E40" s="254">
        <f>(17.86*2)+(5.49*2)+6.56</f>
        <v>53.260000000000005</v>
      </c>
      <c r="F40" s="266">
        <f>ROUND(E40,2)</f>
        <v>53.26</v>
      </c>
      <c r="G40" s="265" t="s">
        <v>64</v>
      </c>
    </row>
    <row r="41" spans="1:8" s="320" customFormat="1" ht="45" x14ac:dyDescent="0.25">
      <c r="A41" s="258" t="s">
        <v>98</v>
      </c>
      <c r="B41" s="253" t="s">
        <v>345</v>
      </c>
      <c r="C41" s="340" t="s">
        <v>2318</v>
      </c>
      <c r="D41" s="251" t="s">
        <v>99</v>
      </c>
      <c r="E41" s="336">
        <f>(0.9*4)+3</f>
        <v>6.6</v>
      </c>
      <c r="F41" s="349">
        <f t="shared" ref="F41" si="2">ROUND(E41,2)</f>
        <v>6.6</v>
      </c>
      <c r="G41" s="265" t="s">
        <v>64</v>
      </c>
      <c r="H41" s="363"/>
    </row>
    <row r="42" spans="1:8" s="292" customFormat="1" ht="15" x14ac:dyDescent="0.25">
      <c r="A42" s="733" t="s">
        <v>1863</v>
      </c>
      <c r="B42" s="734"/>
      <c r="C42" s="734"/>
      <c r="D42" s="734"/>
      <c r="E42" s="734"/>
      <c r="F42" s="298"/>
      <c r="G42" s="255"/>
    </row>
    <row r="43" spans="1:8" s="292" customFormat="1" ht="15" x14ac:dyDescent="0.25">
      <c r="A43" s="308" t="s">
        <v>59</v>
      </c>
      <c r="B43" s="551" t="s">
        <v>60</v>
      </c>
      <c r="C43" s="309" t="s">
        <v>61</v>
      </c>
      <c r="D43" s="308" t="s">
        <v>62</v>
      </c>
      <c r="E43" s="308" t="s">
        <v>63</v>
      </c>
      <c r="F43" s="298"/>
      <c r="G43" s="255"/>
    </row>
    <row r="44" spans="1:8" s="256" customFormat="1" ht="45" x14ac:dyDescent="0.25">
      <c r="A44" s="251" t="s">
        <v>100</v>
      </c>
      <c r="B44" s="253" t="s">
        <v>1864</v>
      </c>
      <c r="C44" s="253" t="s">
        <v>1862</v>
      </c>
      <c r="D44" s="251" t="s">
        <v>10</v>
      </c>
      <c r="E44" s="254">
        <f>(17.86*2)+(5.49*2)+6.56</f>
        <v>53.260000000000005</v>
      </c>
      <c r="F44" s="266">
        <f>ROUND(E44,2)</f>
        <v>53.26</v>
      </c>
      <c r="G44" s="265" t="s">
        <v>64</v>
      </c>
    </row>
    <row r="45" spans="1:8" s="256" customFormat="1" ht="75" x14ac:dyDescent="0.25">
      <c r="A45" s="251" t="s">
        <v>101</v>
      </c>
      <c r="B45" s="253" t="s">
        <v>1865</v>
      </c>
      <c r="C45" s="253" t="s">
        <v>1866</v>
      </c>
      <c r="D45" s="251" t="s">
        <v>10</v>
      </c>
      <c r="E45" s="254">
        <f>(0.69*1.8)+(1.57*2*1.8)+(1.97*3*1.8)</f>
        <v>17.532</v>
      </c>
      <c r="F45" s="266">
        <f>ROUND(E45,2)</f>
        <v>17.53</v>
      </c>
      <c r="G45" s="265" t="s">
        <v>64</v>
      </c>
    </row>
    <row r="46" spans="1:8" s="292" customFormat="1" ht="15" x14ac:dyDescent="0.25">
      <c r="A46" s="732" t="s">
        <v>12</v>
      </c>
      <c r="B46" s="732"/>
      <c r="C46" s="732"/>
      <c r="D46" s="732"/>
      <c r="E46" s="732"/>
      <c r="F46" s="298"/>
      <c r="G46" s="255"/>
    </row>
    <row r="47" spans="1:8" s="292" customFormat="1" ht="15" x14ac:dyDescent="0.25">
      <c r="A47" s="308" t="s">
        <v>59</v>
      </c>
      <c r="B47" s="551" t="s">
        <v>60</v>
      </c>
      <c r="C47" s="309" t="s">
        <v>61</v>
      </c>
      <c r="D47" s="308" t="s">
        <v>62</v>
      </c>
      <c r="E47" s="308" t="s">
        <v>63</v>
      </c>
      <c r="F47" s="298"/>
      <c r="G47" s="255"/>
    </row>
    <row r="48" spans="1:8" s="292" customFormat="1" ht="225" x14ac:dyDescent="0.25">
      <c r="A48" s="251" t="s">
        <v>108</v>
      </c>
      <c r="B48" s="253" t="s">
        <v>2094</v>
      </c>
      <c r="C48" s="259" t="s">
        <v>2635</v>
      </c>
      <c r="D48" s="258" t="s">
        <v>10</v>
      </c>
      <c r="E48" s="260">
        <f>((22.95*3.35)-4.8)+268.67+562.72+338.5+397.4+(9*1.7*1.7)</f>
        <v>1665.3824999999999</v>
      </c>
      <c r="F48" s="266">
        <f t="shared" ref="F48:F57" si="3">ROUND(E48,2)</f>
        <v>1665.38</v>
      </c>
      <c r="G48" s="265" t="s">
        <v>64</v>
      </c>
    </row>
    <row r="49" spans="1:8" s="256" customFormat="1" ht="240" x14ac:dyDescent="0.25">
      <c r="A49" s="251" t="s">
        <v>110</v>
      </c>
      <c r="B49" s="253" t="s">
        <v>1867</v>
      </c>
      <c r="C49" s="259" t="s">
        <v>2636</v>
      </c>
      <c r="D49" s="258" t="s">
        <v>10</v>
      </c>
      <c r="E49" s="260">
        <f>331+506.02+338.5+397.4+(17.86*2)+(5.49*2)+6.56</f>
        <v>1626.18</v>
      </c>
      <c r="F49" s="266">
        <f t="shared" si="3"/>
        <v>1626.18</v>
      </c>
      <c r="G49" s="265" t="s">
        <v>64</v>
      </c>
    </row>
    <row r="50" spans="1:8" s="256" customFormat="1" ht="225" x14ac:dyDescent="0.25">
      <c r="A50" s="251" t="s">
        <v>111</v>
      </c>
      <c r="B50" s="253" t="s">
        <v>1868</v>
      </c>
      <c r="C50" s="259" t="s">
        <v>2635</v>
      </c>
      <c r="D50" s="258" t="s">
        <v>10</v>
      </c>
      <c r="E50" s="260">
        <f>((22.95*3.35)-4.8)+268.67+562.72+338.5+397.4+(9*1.7*1.7)</f>
        <v>1665.3824999999999</v>
      </c>
      <c r="F50" s="266">
        <f t="shared" si="3"/>
        <v>1665.38</v>
      </c>
      <c r="G50" s="265" t="s">
        <v>64</v>
      </c>
    </row>
    <row r="51" spans="1:8" s="256" customFormat="1" ht="45" x14ac:dyDescent="0.25">
      <c r="A51" s="251" t="s">
        <v>127</v>
      </c>
      <c r="B51" s="259" t="s">
        <v>2319</v>
      </c>
      <c r="C51" s="253" t="s">
        <v>2093</v>
      </c>
      <c r="D51" s="251" t="s">
        <v>10</v>
      </c>
      <c r="E51" s="261">
        <f>((E49+E50)-(E54+E55))</f>
        <v>3265.8375000000001</v>
      </c>
      <c r="F51" s="266">
        <f t="shared" si="3"/>
        <v>3265.84</v>
      </c>
      <c r="G51" s="265" t="s">
        <v>64</v>
      </c>
    </row>
    <row r="52" spans="1:8" s="256" customFormat="1" ht="45" x14ac:dyDescent="0.25">
      <c r="A52" s="251" t="s">
        <v>128</v>
      </c>
      <c r="B52" s="253" t="s">
        <v>1870</v>
      </c>
      <c r="C52" s="253" t="s">
        <v>1862</v>
      </c>
      <c r="D52" s="251" t="s">
        <v>10</v>
      </c>
      <c r="E52" s="254">
        <f>(17.86*2)+(5.49*2)+6.56</f>
        <v>53.260000000000005</v>
      </c>
      <c r="F52" s="266">
        <f>ROUND(E52,2)</f>
        <v>53.26</v>
      </c>
      <c r="G52" s="265" t="s">
        <v>64</v>
      </c>
    </row>
    <row r="53" spans="1:8" s="256" customFormat="1" ht="90" x14ac:dyDescent="0.25">
      <c r="A53" s="251" t="s">
        <v>129</v>
      </c>
      <c r="B53" s="253" t="s">
        <v>1871</v>
      </c>
      <c r="C53" s="253" t="s">
        <v>2095</v>
      </c>
      <c r="D53" s="251" t="s">
        <v>10</v>
      </c>
      <c r="E53" s="261">
        <f>18.22+204.02+((10.35+12.9)*1.5)+(29.85*1.5)</f>
        <v>301.89</v>
      </c>
      <c r="F53" s="266">
        <f t="shared" ref="F53:F55" si="4">ROUND(E53,2)</f>
        <v>301.89</v>
      </c>
      <c r="G53" s="265" t="s">
        <v>64</v>
      </c>
    </row>
    <row r="54" spans="1:8" s="256" customFormat="1" ht="90" x14ac:dyDescent="0.25">
      <c r="A54" s="251" t="s">
        <v>978</v>
      </c>
      <c r="B54" s="253" t="s">
        <v>1872</v>
      </c>
      <c r="C54" s="253" t="s">
        <v>2096</v>
      </c>
      <c r="D54" s="251" t="s">
        <v>10</v>
      </c>
      <c r="E54" s="261">
        <f>(49.7*0.25)+(23.35*0.25)+(29.85*0.25)</f>
        <v>25.725000000000001</v>
      </c>
      <c r="F54" s="266">
        <f t="shared" si="4"/>
        <v>25.73</v>
      </c>
      <c r="G54" s="265" t="s">
        <v>64</v>
      </c>
    </row>
    <row r="55" spans="1:8" s="387" customFormat="1" ht="45" x14ac:dyDescent="0.25">
      <c r="A55" s="328" t="s">
        <v>1873</v>
      </c>
      <c r="B55" s="384" t="s">
        <v>2097</v>
      </c>
      <c r="C55" s="384" t="s">
        <v>2098</v>
      </c>
      <c r="D55" s="328" t="s">
        <v>10</v>
      </c>
      <c r="E55" s="385">
        <v>0</v>
      </c>
      <c r="F55" s="326">
        <f t="shared" si="4"/>
        <v>0</v>
      </c>
      <c r="G55" s="387" t="s">
        <v>2637</v>
      </c>
      <c r="H55" s="386"/>
    </row>
    <row r="56" spans="1:8" s="256" customFormat="1" ht="45" x14ac:dyDescent="0.25">
      <c r="A56" s="251" t="s">
        <v>1873</v>
      </c>
      <c r="B56" s="253" t="s">
        <v>1875</v>
      </c>
      <c r="C56" s="253" t="s">
        <v>1846</v>
      </c>
      <c r="D56" s="251" t="s">
        <v>10</v>
      </c>
      <c r="E56" s="260">
        <f>0.9*2.1*4*2</f>
        <v>15.120000000000001</v>
      </c>
      <c r="F56" s="266">
        <f t="shared" si="3"/>
        <v>15.12</v>
      </c>
      <c r="G56" s="265" t="s">
        <v>64</v>
      </c>
      <c r="H56" s="318"/>
    </row>
    <row r="57" spans="1:8" s="320" customFormat="1" ht="45" x14ac:dyDescent="0.25">
      <c r="A57" s="258" t="s">
        <v>1874</v>
      </c>
      <c r="B57" s="259" t="s">
        <v>1969</v>
      </c>
      <c r="C57" s="253" t="s">
        <v>2092</v>
      </c>
      <c r="D57" s="251" t="s">
        <v>10</v>
      </c>
      <c r="E57" s="261">
        <f>118.15*1.2</f>
        <v>141.78</v>
      </c>
      <c r="F57" s="349">
        <f t="shared" si="3"/>
        <v>141.78</v>
      </c>
      <c r="G57" s="265" t="s">
        <v>64</v>
      </c>
    </row>
    <row r="58" spans="1:8" s="292" customFormat="1" ht="15" x14ac:dyDescent="0.25">
      <c r="A58" s="732" t="s">
        <v>81</v>
      </c>
      <c r="B58" s="732"/>
      <c r="C58" s="732"/>
      <c r="D58" s="732"/>
      <c r="E58" s="732"/>
      <c r="F58" s="298"/>
      <c r="G58" s="255"/>
    </row>
    <row r="59" spans="1:8" s="292" customFormat="1" ht="15" x14ac:dyDescent="0.25">
      <c r="A59" s="308" t="s">
        <v>59</v>
      </c>
      <c r="B59" s="551" t="s">
        <v>60</v>
      </c>
      <c r="C59" s="309" t="s">
        <v>61</v>
      </c>
      <c r="D59" s="308" t="s">
        <v>62</v>
      </c>
      <c r="E59" s="308" t="s">
        <v>63</v>
      </c>
      <c r="F59" s="298"/>
      <c r="G59" s="255"/>
    </row>
    <row r="60" spans="1:8" s="256" customFormat="1" ht="30" x14ac:dyDescent="0.25">
      <c r="A60" s="251" t="s">
        <v>112</v>
      </c>
      <c r="B60" s="253" t="s">
        <v>1876</v>
      </c>
      <c r="C60" s="253" t="s">
        <v>1877</v>
      </c>
      <c r="D60" s="251" t="s">
        <v>99</v>
      </c>
      <c r="E60" s="261">
        <f>1.94*2</f>
        <v>3.88</v>
      </c>
      <c r="F60" s="266">
        <f t="shared" ref="F60:F72" si="5">ROUND(E60,2)</f>
        <v>3.88</v>
      </c>
      <c r="G60" s="265" t="s">
        <v>64</v>
      </c>
    </row>
    <row r="61" spans="1:8" s="256" customFormat="1" ht="15" x14ac:dyDescent="0.25">
      <c r="A61" s="251" t="s">
        <v>130</v>
      </c>
      <c r="B61" s="253" t="s">
        <v>1878</v>
      </c>
      <c r="C61" s="259" t="s">
        <v>2626</v>
      </c>
      <c r="D61" s="361" t="s">
        <v>10</v>
      </c>
      <c r="E61" s="258">
        <f>0.55*0.45*6</f>
        <v>1.4850000000000001</v>
      </c>
      <c r="F61" s="266">
        <f t="shared" si="5"/>
        <v>1.49</v>
      </c>
      <c r="G61" s="265" t="s">
        <v>64</v>
      </c>
    </row>
    <row r="62" spans="1:8" s="256" customFormat="1" ht="30" x14ac:dyDescent="0.25">
      <c r="A62" s="251" t="s">
        <v>979</v>
      </c>
      <c r="B62" s="253" t="s">
        <v>1879</v>
      </c>
      <c r="C62" s="253" t="s">
        <v>1880</v>
      </c>
      <c r="D62" s="311" t="s">
        <v>56</v>
      </c>
      <c r="E62" s="261">
        <v>18</v>
      </c>
      <c r="F62" s="266">
        <f t="shared" si="5"/>
        <v>18</v>
      </c>
      <c r="G62" s="265" t="s">
        <v>64</v>
      </c>
    </row>
    <row r="63" spans="1:8" s="256" customFormat="1" ht="30" x14ac:dyDescent="0.25">
      <c r="A63" s="251" t="s">
        <v>980</v>
      </c>
      <c r="B63" s="253" t="s">
        <v>1881</v>
      </c>
      <c r="C63" s="253" t="s">
        <v>1882</v>
      </c>
      <c r="D63" s="311" t="s">
        <v>56</v>
      </c>
      <c r="E63" s="261">
        <v>6</v>
      </c>
      <c r="F63" s="266">
        <f t="shared" si="5"/>
        <v>6</v>
      </c>
      <c r="G63" s="265" t="s">
        <v>64</v>
      </c>
    </row>
    <row r="64" spans="1:8" s="256" customFormat="1" ht="30" x14ac:dyDescent="0.25">
      <c r="A64" s="251" t="s">
        <v>981</v>
      </c>
      <c r="B64" s="253" t="s">
        <v>2549</v>
      </c>
      <c r="C64" s="253"/>
      <c r="D64" s="311" t="s">
        <v>56</v>
      </c>
      <c r="E64" s="261">
        <v>2</v>
      </c>
      <c r="F64" s="266">
        <f t="shared" si="5"/>
        <v>2</v>
      </c>
      <c r="G64" s="265" t="s">
        <v>64</v>
      </c>
    </row>
    <row r="65" spans="1:12" s="256" customFormat="1" ht="15" x14ac:dyDescent="0.25">
      <c r="A65" s="251" t="s">
        <v>982</v>
      </c>
      <c r="B65" s="253" t="s">
        <v>2627</v>
      </c>
      <c r="C65" s="253" t="s">
        <v>1883</v>
      </c>
      <c r="D65" s="311" t="s">
        <v>56</v>
      </c>
      <c r="E65" s="261">
        <v>2</v>
      </c>
      <c r="F65" s="266">
        <f t="shared" si="5"/>
        <v>2</v>
      </c>
      <c r="G65" s="265" t="s">
        <v>64</v>
      </c>
    </row>
    <row r="66" spans="1:12" s="256" customFormat="1" ht="45" x14ac:dyDescent="0.25">
      <c r="A66" s="251" t="s">
        <v>1884</v>
      </c>
      <c r="B66" s="253" t="s">
        <v>1885</v>
      </c>
      <c r="C66" s="259" t="s">
        <v>2628</v>
      </c>
      <c r="D66" s="361" t="s">
        <v>56</v>
      </c>
      <c r="E66" s="260">
        <f>(27*2)</f>
        <v>54</v>
      </c>
      <c r="F66" s="266">
        <f t="shared" si="5"/>
        <v>54</v>
      </c>
      <c r="G66" s="265" t="s">
        <v>64</v>
      </c>
    </row>
    <row r="67" spans="1:12" s="362" customFormat="1" ht="30" x14ac:dyDescent="0.25">
      <c r="A67" s="258" t="s">
        <v>1886</v>
      </c>
      <c r="B67" s="259" t="s">
        <v>1887</v>
      </c>
      <c r="C67" s="259" t="s">
        <v>2087</v>
      </c>
      <c r="D67" s="361" t="s">
        <v>10</v>
      </c>
      <c r="E67" s="261">
        <f>1356.63-419.98</f>
        <v>936.65000000000009</v>
      </c>
      <c r="F67" s="266">
        <f t="shared" si="5"/>
        <v>936.65</v>
      </c>
      <c r="G67" s="327" t="s">
        <v>64</v>
      </c>
    </row>
    <row r="68" spans="1:12" s="362" customFormat="1" ht="30" x14ac:dyDescent="0.25">
      <c r="A68" s="258" t="s">
        <v>1886</v>
      </c>
      <c r="B68" s="259" t="s">
        <v>2085</v>
      </c>
      <c r="C68" s="259" t="s">
        <v>2086</v>
      </c>
      <c r="D68" s="361" t="s">
        <v>10</v>
      </c>
      <c r="E68" s="261">
        <v>419.98</v>
      </c>
      <c r="F68" s="266">
        <f t="shared" ref="F68" si="6">ROUND(E68,2)</f>
        <v>419.98</v>
      </c>
      <c r="G68" s="327" t="s">
        <v>64</v>
      </c>
    </row>
    <row r="69" spans="1:12" s="256" customFormat="1" ht="30" x14ac:dyDescent="0.25">
      <c r="A69" s="251" t="s">
        <v>1888</v>
      </c>
      <c r="B69" s="253" t="s">
        <v>1889</v>
      </c>
      <c r="C69" s="253" t="s">
        <v>1890</v>
      </c>
      <c r="D69" s="311" t="s">
        <v>99</v>
      </c>
      <c r="E69" s="261">
        <v>402.3</v>
      </c>
      <c r="F69" s="266">
        <f t="shared" si="5"/>
        <v>402.3</v>
      </c>
      <c r="G69" s="327" t="s">
        <v>64</v>
      </c>
    </row>
    <row r="70" spans="1:12" s="256" customFormat="1" ht="15" x14ac:dyDescent="0.25">
      <c r="A70" s="251" t="s">
        <v>1891</v>
      </c>
      <c r="B70" s="253" t="s">
        <v>1892</v>
      </c>
      <c r="C70" s="253" t="s">
        <v>1893</v>
      </c>
      <c r="D70" s="311" t="s">
        <v>272</v>
      </c>
      <c r="E70" s="261">
        <v>1</v>
      </c>
      <c r="F70" s="266">
        <f t="shared" si="5"/>
        <v>1</v>
      </c>
      <c r="G70" s="265" t="s">
        <v>64</v>
      </c>
    </row>
    <row r="71" spans="1:12" s="256" customFormat="1" ht="15" x14ac:dyDescent="0.25">
      <c r="A71" s="251" t="s">
        <v>1894</v>
      </c>
      <c r="B71" s="253" t="s">
        <v>1895</v>
      </c>
      <c r="C71" s="253" t="s">
        <v>1893</v>
      </c>
      <c r="D71" s="311" t="s">
        <v>272</v>
      </c>
      <c r="E71" s="261">
        <v>1</v>
      </c>
      <c r="F71" s="266">
        <f t="shared" si="5"/>
        <v>1</v>
      </c>
      <c r="G71" s="265" t="s">
        <v>64</v>
      </c>
    </row>
    <row r="72" spans="1:12" s="256" customFormat="1" ht="15" x14ac:dyDescent="0.25">
      <c r="A72" s="251" t="s">
        <v>1896</v>
      </c>
      <c r="B72" s="253" t="s">
        <v>276</v>
      </c>
      <c r="C72" s="253" t="s">
        <v>1893</v>
      </c>
      <c r="D72" s="311" t="s">
        <v>272</v>
      </c>
      <c r="E72" s="261">
        <v>1</v>
      </c>
      <c r="F72" s="266">
        <f t="shared" si="5"/>
        <v>1</v>
      </c>
      <c r="G72" s="265" t="s">
        <v>64</v>
      </c>
    </row>
    <row r="73" spans="1:12" s="321" customFormat="1" ht="15" x14ac:dyDescent="0.25">
      <c r="A73" s="731" t="s">
        <v>55</v>
      </c>
      <c r="B73" s="731"/>
      <c r="C73" s="732"/>
      <c r="D73" s="732"/>
      <c r="E73" s="732"/>
      <c r="F73" s="319"/>
      <c r="G73" s="255"/>
      <c r="H73" s="320"/>
      <c r="I73" s="320"/>
      <c r="J73" s="320"/>
      <c r="K73" s="320"/>
      <c r="L73" s="320"/>
    </row>
    <row r="74" spans="1:12" s="321" customFormat="1" ht="15" x14ac:dyDescent="0.25">
      <c r="A74" s="308" t="s">
        <v>59</v>
      </c>
      <c r="B74" s="551" t="s">
        <v>60</v>
      </c>
      <c r="C74" s="309" t="s">
        <v>61</v>
      </c>
      <c r="D74" s="308" t="s">
        <v>62</v>
      </c>
      <c r="E74" s="308" t="s">
        <v>63</v>
      </c>
      <c r="F74" s="319"/>
      <c r="G74" s="255"/>
      <c r="H74" s="320"/>
      <c r="I74" s="320"/>
      <c r="J74" s="320"/>
      <c r="K74" s="320"/>
      <c r="L74" s="320"/>
    </row>
    <row r="75" spans="1:12" s="320" customFormat="1" ht="15" x14ac:dyDescent="0.25">
      <c r="A75" s="251" t="s">
        <v>112</v>
      </c>
      <c r="B75" s="253" t="s">
        <v>1897</v>
      </c>
      <c r="C75" s="253" t="s">
        <v>1898</v>
      </c>
      <c r="D75" s="251" t="s">
        <v>10</v>
      </c>
      <c r="E75" s="254">
        <v>199.53</v>
      </c>
      <c r="F75" s="349">
        <f>E75</f>
        <v>199.53</v>
      </c>
      <c r="G75" s="265" t="s">
        <v>64</v>
      </c>
    </row>
    <row r="76" spans="1:12" s="292" customFormat="1" ht="15" x14ac:dyDescent="0.25">
      <c r="A76" s="731" t="s">
        <v>65</v>
      </c>
      <c r="B76" s="731"/>
      <c r="C76" s="732"/>
      <c r="D76" s="732"/>
      <c r="E76" s="732"/>
      <c r="F76" s="298"/>
      <c r="G76" s="265"/>
    </row>
    <row r="77" spans="1:12" s="292" customFormat="1" ht="15" x14ac:dyDescent="0.25">
      <c r="A77" s="308" t="s">
        <v>59</v>
      </c>
      <c r="B77" s="551" t="s">
        <v>60</v>
      </c>
      <c r="C77" s="309" t="s">
        <v>61</v>
      </c>
      <c r="D77" s="308" t="s">
        <v>62</v>
      </c>
      <c r="E77" s="308" t="s">
        <v>63</v>
      </c>
      <c r="F77" s="298"/>
      <c r="G77" s="265"/>
    </row>
    <row r="78" spans="1:12" s="256" customFormat="1" ht="15" x14ac:dyDescent="0.25">
      <c r="A78" s="251" t="s">
        <v>1039</v>
      </c>
      <c r="B78" s="253" t="s">
        <v>1899</v>
      </c>
      <c r="C78" s="253"/>
      <c r="D78" s="251" t="s">
        <v>99</v>
      </c>
      <c r="E78" s="261">
        <v>1566.94</v>
      </c>
      <c r="F78" s="266">
        <f t="shared" ref="F78" si="7">ROUND(E78,2)</f>
        <v>1566.94</v>
      </c>
      <c r="G78" s="265" t="s">
        <v>64</v>
      </c>
    </row>
  </sheetData>
  <mergeCells count="13">
    <mergeCell ref="A76:E76"/>
    <mergeCell ref="A29:E29"/>
    <mergeCell ref="A36:E36"/>
    <mergeCell ref="A42:E42"/>
    <mergeCell ref="A46:E46"/>
    <mergeCell ref="A58:E58"/>
    <mergeCell ref="A73:E73"/>
    <mergeCell ref="A23:E23"/>
    <mergeCell ref="A1:E1"/>
    <mergeCell ref="A2:E2"/>
    <mergeCell ref="A5:E5"/>
    <mergeCell ref="A8:E8"/>
    <mergeCell ref="A17:E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D100"/>
  <sheetViews>
    <sheetView workbookViewId="0">
      <selection activeCell="E19" sqref="E19"/>
    </sheetView>
  </sheetViews>
  <sheetFormatPr defaultRowHeight="15" x14ac:dyDescent="0.25"/>
  <cols>
    <col min="1" max="1" width="11.7109375" style="159" customWidth="1"/>
    <col min="2" max="2" width="48.28515625" style="41" customWidth="1"/>
    <col min="3" max="3" width="9.7109375" style="41" customWidth="1"/>
    <col min="4" max="4" width="14.5703125" style="575" customWidth="1"/>
  </cols>
  <sheetData>
    <row r="1" spans="1:4" ht="15.75" x14ac:dyDescent="0.25">
      <c r="A1" s="745" t="s">
        <v>746</v>
      </c>
      <c r="B1" s="745"/>
      <c r="C1" s="745"/>
      <c r="D1" s="745"/>
    </row>
    <row r="2" spans="1:4" ht="15.75" x14ac:dyDescent="0.25">
      <c r="A2" s="148"/>
      <c r="B2" s="148"/>
      <c r="C2" s="148"/>
      <c r="D2" s="568"/>
    </row>
    <row r="3" spans="1:4" ht="15.75" x14ac:dyDescent="0.25">
      <c r="A3" s="149" t="s">
        <v>2</v>
      </c>
      <c r="B3" s="378" t="s">
        <v>2606</v>
      </c>
      <c r="C3" s="746" t="s">
        <v>2607</v>
      </c>
      <c r="D3" s="746"/>
    </row>
    <row r="4" spans="1:4" ht="15.75" x14ac:dyDescent="0.25">
      <c r="A4" s="149"/>
      <c r="B4" s="148"/>
      <c r="C4" s="378"/>
      <c r="D4" s="569"/>
    </row>
    <row r="5" spans="1:4" x14ac:dyDescent="0.25">
      <c r="A5" s="150"/>
      <c r="B5" s="151"/>
      <c r="C5" s="76"/>
      <c r="D5" s="570"/>
    </row>
    <row r="6" spans="1:4" x14ac:dyDescent="0.25">
      <c r="A6" s="152" t="s">
        <v>0</v>
      </c>
      <c r="B6" s="152" t="s">
        <v>748</v>
      </c>
      <c r="C6" s="152" t="s">
        <v>5</v>
      </c>
      <c r="D6" s="152" t="s">
        <v>6</v>
      </c>
    </row>
    <row r="7" spans="1:4" x14ac:dyDescent="0.25">
      <c r="A7" s="153"/>
      <c r="B7" s="154" t="s">
        <v>2608</v>
      </c>
      <c r="C7" s="153"/>
      <c r="D7" s="153"/>
    </row>
    <row r="8" spans="1:4" x14ac:dyDescent="0.25">
      <c r="A8" s="155" t="s">
        <v>16</v>
      </c>
      <c r="B8" s="382" t="s">
        <v>2609</v>
      </c>
      <c r="C8" s="383" t="s">
        <v>99</v>
      </c>
      <c r="D8" s="578">
        <v>70</v>
      </c>
    </row>
    <row r="9" spans="1:4" x14ac:dyDescent="0.25">
      <c r="A9" s="155" t="s">
        <v>1656</v>
      </c>
      <c r="B9" s="382" t="s">
        <v>2610</v>
      </c>
      <c r="C9" s="383" t="s">
        <v>99</v>
      </c>
      <c r="D9" s="578">
        <v>146</v>
      </c>
    </row>
    <row r="10" spans="1:4" x14ac:dyDescent="0.25">
      <c r="A10" s="155" t="s">
        <v>1658</v>
      </c>
      <c r="B10" s="382" t="s">
        <v>2611</v>
      </c>
      <c r="C10" s="383" t="s">
        <v>99</v>
      </c>
      <c r="D10" s="578">
        <v>50</v>
      </c>
    </row>
    <row r="11" spans="1:4" x14ac:dyDescent="0.25">
      <c r="A11" s="155" t="s">
        <v>1659</v>
      </c>
      <c r="B11" s="382" t="s">
        <v>2612</v>
      </c>
      <c r="C11" s="383" t="s">
        <v>99</v>
      </c>
      <c r="D11" s="578">
        <v>16</v>
      </c>
    </row>
    <row r="12" spans="1:4" ht="30" x14ac:dyDescent="0.25">
      <c r="A12" s="155" t="s">
        <v>1661</v>
      </c>
      <c r="B12" s="382" t="s">
        <v>2613</v>
      </c>
      <c r="C12" s="383" t="s">
        <v>5</v>
      </c>
      <c r="D12" s="578">
        <v>12</v>
      </c>
    </row>
    <row r="13" spans="1:4" x14ac:dyDescent="0.25">
      <c r="A13" s="155" t="s">
        <v>1662</v>
      </c>
      <c r="B13" s="382" t="s">
        <v>2614</v>
      </c>
      <c r="C13" s="383" t="s">
        <v>5</v>
      </c>
      <c r="D13" s="578">
        <v>20</v>
      </c>
    </row>
    <row r="14" spans="1:4" x14ac:dyDescent="0.25">
      <c r="A14" s="155" t="s">
        <v>1663</v>
      </c>
      <c r="B14" s="157" t="s">
        <v>2615</v>
      </c>
      <c r="C14" s="383" t="s">
        <v>5</v>
      </c>
      <c r="D14" s="578">
        <v>1</v>
      </c>
    </row>
    <row r="15" spans="1:4" x14ac:dyDescent="0.25">
      <c r="B15" s="109"/>
      <c r="C15" s="109"/>
      <c r="D15" s="571"/>
    </row>
    <row r="16" spans="1:4" x14ac:dyDescent="0.25">
      <c r="B16" s="109"/>
      <c r="C16" s="109"/>
      <c r="D16" s="571"/>
    </row>
    <row r="17" spans="2:4" x14ac:dyDescent="0.25">
      <c r="B17" s="49"/>
      <c r="C17" s="49"/>
      <c r="D17" s="572"/>
    </row>
    <row r="21" spans="2:4" x14ac:dyDescent="0.25">
      <c r="C21" s="45"/>
      <c r="D21" s="573"/>
    </row>
    <row r="22" spans="2:4" x14ac:dyDescent="0.25">
      <c r="C22" s="43"/>
      <c r="D22" s="574"/>
    </row>
    <row r="23" spans="2:4" x14ac:dyDescent="0.25">
      <c r="C23" s="43"/>
      <c r="D23" s="574"/>
    </row>
    <row r="24" spans="2:4" x14ac:dyDescent="0.25">
      <c r="C24" s="43"/>
      <c r="D24" s="574"/>
    </row>
    <row r="25" spans="2:4" x14ac:dyDescent="0.25">
      <c r="C25" s="43"/>
      <c r="D25" s="574"/>
    </row>
    <row r="26" spans="2:4" x14ac:dyDescent="0.25">
      <c r="C26" s="43"/>
      <c r="D26" s="574"/>
    </row>
    <row r="27" spans="2:4" x14ac:dyDescent="0.25">
      <c r="C27" s="43"/>
      <c r="D27" s="574"/>
    </row>
    <row r="28" spans="2:4" x14ac:dyDescent="0.25">
      <c r="C28" s="43"/>
      <c r="D28" s="574"/>
    </row>
    <row r="29" spans="2:4" x14ac:dyDescent="0.25">
      <c r="C29" s="43"/>
      <c r="D29" s="574"/>
    </row>
    <row r="30" spans="2:4" x14ac:dyDescent="0.25">
      <c r="C30" s="43"/>
      <c r="D30" s="574"/>
    </row>
    <row r="31" spans="2:4" x14ac:dyDescent="0.25">
      <c r="C31" s="43"/>
      <c r="D31" s="574"/>
    </row>
    <row r="32" spans="2:4" x14ac:dyDescent="0.25">
      <c r="C32" s="43"/>
      <c r="D32" s="574"/>
    </row>
    <row r="33" spans="3:4" x14ac:dyDescent="0.25">
      <c r="C33" s="43"/>
      <c r="D33" s="574"/>
    </row>
    <row r="34" spans="3:4" x14ac:dyDescent="0.25">
      <c r="C34" s="43"/>
      <c r="D34" s="574"/>
    </row>
    <row r="35" spans="3:4" x14ac:dyDescent="0.25">
      <c r="C35" s="43"/>
      <c r="D35" s="574"/>
    </row>
    <row r="36" spans="3:4" x14ac:dyDescent="0.25">
      <c r="C36" s="43"/>
      <c r="D36" s="574"/>
    </row>
    <row r="37" spans="3:4" x14ac:dyDescent="0.25">
      <c r="C37" s="43"/>
      <c r="D37" s="574"/>
    </row>
    <row r="38" spans="3:4" x14ac:dyDescent="0.25">
      <c r="C38" s="43"/>
      <c r="D38" s="574"/>
    </row>
    <row r="39" spans="3:4" x14ac:dyDescent="0.25">
      <c r="C39" s="43"/>
      <c r="D39" s="574"/>
    </row>
    <row r="40" spans="3:4" x14ac:dyDescent="0.25">
      <c r="C40" s="43"/>
      <c r="D40" s="574"/>
    </row>
    <row r="41" spans="3:4" x14ac:dyDescent="0.25">
      <c r="C41" s="43"/>
      <c r="D41" s="574"/>
    </row>
    <row r="42" spans="3:4" x14ac:dyDescent="0.25">
      <c r="C42" s="43"/>
      <c r="D42" s="574"/>
    </row>
    <row r="43" spans="3:4" x14ac:dyDescent="0.25">
      <c r="C43" s="43"/>
      <c r="D43" s="574"/>
    </row>
    <row r="44" spans="3:4" x14ac:dyDescent="0.25">
      <c r="C44" s="45"/>
      <c r="D44" s="573"/>
    </row>
    <row r="45" spans="3:4" x14ac:dyDescent="0.25">
      <c r="C45" s="43"/>
      <c r="D45" s="574"/>
    </row>
    <row r="46" spans="3:4" x14ac:dyDescent="0.25">
      <c r="C46" s="43"/>
      <c r="D46" s="574"/>
    </row>
    <row r="47" spans="3:4" x14ac:dyDescent="0.25">
      <c r="C47" s="43"/>
      <c r="D47" s="574"/>
    </row>
    <row r="48" spans="3:4" x14ac:dyDescent="0.25">
      <c r="C48" s="43"/>
      <c r="D48" s="574"/>
    </row>
    <row r="49" spans="3:4" x14ac:dyDescent="0.25">
      <c r="C49" s="43"/>
      <c r="D49" s="574"/>
    </row>
    <row r="50" spans="3:4" x14ac:dyDescent="0.25">
      <c r="C50" s="43"/>
      <c r="D50" s="574"/>
    </row>
    <row r="51" spans="3:4" x14ac:dyDescent="0.25">
      <c r="C51" s="43"/>
      <c r="D51" s="574"/>
    </row>
    <row r="52" spans="3:4" x14ac:dyDescent="0.25">
      <c r="C52" s="43"/>
      <c r="D52" s="574"/>
    </row>
    <row r="53" spans="3:4" x14ac:dyDescent="0.25">
      <c r="C53" s="43"/>
      <c r="D53" s="574"/>
    </row>
    <row r="54" spans="3:4" x14ac:dyDescent="0.25">
      <c r="C54" s="43"/>
      <c r="D54" s="574"/>
    </row>
    <row r="55" spans="3:4" x14ac:dyDescent="0.25">
      <c r="C55" s="43"/>
      <c r="D55" s="574"/>
    </row>
    <row r="56" spans="3:4" x14ac:dyDescent="0.25">
      <c r="C56" s="43"/>
      <c r="D56" s="574"/>
    </row>
    <row r="57" spans="3:4" x14ac:dyDescent="0.25">
      <c r="C57" s="43"/>
      <c r="D57" s="574"/>
    </row>
    <row r="58" spans="3:4" x14ac:dyDescent="0.25">
      <c r="C58" s="43"/>
      <c r="D58" s="574"/>
    </row>
    <row r="59" spans="3:4" x14ac:dyDescent="0.25">
      <c r="C59" s="43"/>
      <c r="D59" s="574"/>
    </row>
    <row r="60" spans="3:4" x14ac:dyDescent="0.25">
      <c r="C60" s="43"/>
      <c r="D60" s="574"/>
    </row>
    <row r="61" spans="3:4" x14ac:dyDescent="0.25">
      <c r="C61" s="43"/>
      <c r="D61" s="574"/>
    </row>
    <row r="63" spans="3:4" x14ac:dyDescent="0.25">
      <c r="C63" s="45"/>
      <c r="D63" s="573"/>
    </row>
    <row r="64" spans="3:4" x14ac:dyDescent="0.25">
      <c r="C64" s="43"/>
      <c r="D64" s="574"/>
    </row>
    <row r="65" spans="2:4" x14ac:dyDescent="0.25">
      <c r="C65" s="43"/>
      <c r="D65" s="574"/>
    </row>
    <row r="66" spans="2:4" x14ac:dyDescent="0.25">
      <c r="C66" s="43"/>
      <c r="D66" s="574"/>
    </row>
    <row r="67" spans="2:4" x14ac:dyDescent="0.25">
      <c r="C67" s="43"/>
      <c r="D67" s="574"/>
    </row>
    <row r="68" spans="2:4" x14ac:dyDescent="0.25">
      <c r="C68" s="43"/>
      <c r="D68" s="574"/>
    </row>
    <row r="69" spans="2:4" x14ac:dyDescent="0.25">
      <c r="C69" s="43"/>
      <c r="D69" s="574"/>
    </row>
    <row r="70" spans="2:4" x14ac:dyDescent="0.25">
      <c r="C70" s="43"/>
      <c r="D70" s="574"/>
    </row>
    <row r="71" spans="2:4" x14ac:dyDescent="0.25">
      <c r="C71" s="43"/>
      <c r="D71" s="574"/>
    </row>
    <row r="72" spans="2:4" x14ac:dyDescent="0.25">
      <c r="C72" s="43"/>
      <c r="D72" s="574"/>
    </row>
    <row r="73" spans="2:4" x14ac:dyDescent="0.25">
      <c r="C73" s="43"/>
      <c r="D73" s="574"/>
    </row>
    <row r="74" spans="2:4" x14ac:dyDescent="0.25">
      <c r="C74" s="43"/>
      <c r="D74" s="574"/>
    </row>
    <row r="75" spans="2:4" x14ac:dyDescent="0.25">
      <c r="B75" s="49"/>
      <c r="C75" s="51"/>
      <c r="D75" s="576"/>
    </row>
    <row r="76" spans="2:4" x14ac:dyDescent="0.25">
      <c r="B76" s="49"/>
      <c r="C76" s="49"/>
      <c r="D76" s="572"/>
    </row>
    <row r="77" spans="2:4" x14ac:dyDescent="0.25">
      <c r="B77" s="49"/>
      <c r="C77" s="53"/>
      <c r="D77" s="577"/>
    </row>
    <row r="78" spans="2:4" x14ac:dyDescent="0.25">
      <c r="B78" s="49"/>
      <c r="C78" s="49"/>
      <c r="D78" s="572"/>
    </row>
    <row r="79" spans="2:4" x14ac:dyDescent="0.25">
      <c r="B79" s="49"/>
      <c r="C79" s="49"/>
      <c r="D79" s="572"/>
    </row>
    <row r="80" spans="2:4" x14ac:dyDescent="0.25">
      <c r="B80" s="49"/>
      <c r="C80" s="49"/>
      <c r="D80" s="572"/>
    </row>
    <row r="81" spans="2:4" x14ac:dyDescent="0.25">
      <c r="B81" s="49"/>
      <c r="C81" s="49"/>
      <c r="D81" s="572"/>
    </row>
    <row r="82" spans="2:4" x14ac:dyDescent="0.25">
      <c r="B82" s="49"/>
      <c r="C82" s="49"/>
      <c r="D82" s="572"/>
    </row>
    <row r="83" spans="2:4" x14ac:dyDescent="0.25">
      <c r="B83" s="49"/>
      <c r="C83" s="49"/>
      <c r="D83" s="572"/>
    </row>
    <row r="84" spans="2:4" x14ac:dyDescent="0.25">
      <c r="B84" s="49"/>
      <c r="C84" s="49"/>
      <c r="D84" s="572"/>
    </row>
    <row r="85" spans="2:4" x14ac:dyDescent="0.25">
      <c r="B85" s="49"/>
      <c r="C85" s="49"/>
      <c r="D85" s="572"/>
    </row>
    <row r="86" spans="2:4" x14ac:dyDescent="0.25">
      <c r="B86" s="49"/>
      <c r="C86" s="49"/>
      <c r="D86" s="572"/>
    </row>
    <row r="87" spans="2:4" x14ac:dyDescent="0.25">
      <c r="B87" s="49"/>
      <c r="C87" s="49"/>
      <c r="D87" s="572"/>
    </row>
    <row r="88" spans="2:4" x14ac:dyDescent="0.25">
      <c r="B88" s="49"/>
      <c r="C88" s="49"/>
      <c r="D88" s="572"/>
    </row>
    <row r="89" spans="2:4" x14ac:dyDescent="0.25">
      <c r="B89" s="49"/>
      <c r="C89" s="49"/>
      <c r="D89" s="572"/>
    </row>
    <row r="90" spans="2:4" x14ac:dyDescent="0.25">
      <c r="B90" s="49"/>
      <c r="C90" s="49"/>
      <c r="D90" s="572"/>
    </row>
    <row r="91" spans="2:4" x14ac:dyDescent="0.25">
      <c r="B91" s="49"/>
      <c r="C91" s="49"/>
      <c r="D91" s="572"/>
    </row>
    <row r="92" spans="2:4" x14ac:dyDescent="0.25">
      <c r="B92" s="55"/>
      <c r="C92" s="55"/>
      <c r="D92" s="572"/>
    </row>
    <row r="93" spans="2:4" x14ac:dyDescent="0.25">
      <c r="B93" s="49"/>
      <c r="C93" s="49"/>
      <c r="D93" s="572"/>
    </row>
    <row r="94" spans="2:4" x14ac:dyDescent="0.25">
      <c r="B94" s="49"/>
      <c r="C94" s="49"/>
      <c r="D94" s="572"/>
    </row>
    <row r="95" spans="2:4" x14ac:dyDescent="0.25">
      <c r="B95" s="49"/>
      <c r="C95" s="49"/>
      <c r="D95" s="572"/>
    </row>
    <row r="96" spans="2:4" x14ac:dyDescent="0.25">
      <c r="B96" s="49"/>
      <c r="C96" s="49"/>
      <c r="D96" s="572"/>
    </row>
    <row r="97" spans="2:4" x14ac:dyDescent="0.25">
      <c r="B97" s="49"/>
      <c r="C97" s="49"/>
      <c r="D97" s="572"/>
    </row>
    <row r="98" spans="2:4" x14ac:dyDescent="0.25">
      <c r="B98" s="49"/>
      <c r="C98" s="49"/>
      <c r="D98" s="572"/>
    </row>
    <row r="99" spans="2:4" x14ac:dyDescent="0.25">
      <c r="B99" s="49"/>
      <c r="C99" s="49"/>
      <c r="D99" s="572"/>
    </row>
    <row r="100" spans="2:4" x14ac:dyDescent="0.25">
      <c r="B100" s="49"/>
      <c r="C100" s="49"/>
      <c r="D100" s="572"/>
    </row>
  </sheetData>
  <mergeCells count="2">
    <mergeCell ref="A1:D1"/>
    <mergeCell ref="C3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K69"/>
  <sheetViews>
    <sheetView workbookViewId="0">
      <selection activeCell="B8" sqref="B8:B12"/>
    </sheetView>
  </sheetViews>
  <sheetFormatPr defaultRowHeight="15" x14ac:dyDescent="0.25"/>
  <cols>
    <col min="1" max="1" width="10.7109375" style="288" customWidth="1"/>
    <col min="2" max="2" width="13.42578125" style="288" bestFit="1" customWidth="1"/>
    <col min="3" max="3" width="47.7109375" style="267" customWidth="1"/>
    <col min="4" max="4" width="4.5703125" style="288" bestFit="1" customWidth="1"/>
    <col min="5" max="5" width="8.7109375" style="289" bestFit="1" customWidth="1"/>
    <col min="9" max="9" width="64.42578125" customWidth="1"/>
  </cols>
  <sheetData>
    <row r="1" spans="1:11" ht="15.75" thickBot="1" x14ac:dyDescent="0.3">
      <c r="A1" s="280"/>
      <c r="B1" s="281"/>
      <c r="C1" s="282"/>
      <c r="D1" s="283"/>
      <c r="E1" s="284"/>
    </row>
    <row r="2" spans="1:11" ht="15.75" thickTop="1" x14ac:dyDescent="0.25">
      <c r="A2" s="747" t="s">
        <v>1812</v>
      </c>
      <c r="B2" s="747"/>
      <c r="C2" s="747"/>
      <c r="D2" s="747"/>
      <c r="E2" s="747"/>
    </row>
    <row r="3" spans="1:11" x14ac:dyDescent="0.25">
      <c r="A3" s="748" t="s">
        <v>1710</v>
      </c>
      <c r="B3" s="748"/>
      <c r="C3" s="748"/>
      <c r="D3" s="748"/>
      <c r="E3" s="748"/>
    </row>
    <row r="4" spans="1:11" x14ac:dyDescent="0.25">
      <c r="A4" s="285" t="s">
        <v>192</v>
      </c>
      <c r="B4" s="285"/>
      <c r="C4" s="286" t="s">
        <v>279</v>
      </c>
      <c r="D4" s="285"/>
      <c r="E4" s="287"/>
    </row>
    <row r="5" spans="1:11" ht="38.25" x14ac:dyDescent="0.25">
      <c r="A5" s="529" t="s">
        <v>114</v>
      </c>
      <c r="B5" s="529">
        <v>91926</v>
      </c>
      <c r="C5" s="77" t="s">
        <v>1711</v>
      </c>
      <c r="D5" s="529" t="s">
        <v>75</v>
      </c>
      <c r="E5" s="528">
        <v>5000</v>
      </c>
      <c r="G5" s="529"/>
      <c r="H5" s="529"/>
      <c r="I5" s="77"/>
      <c r="J5" s="529"/>
      <c r="K5" s="528"/>
    </row>
    <row r="6" spans="1:11" ht="38.25" x14ac:dyDescent="0.25">
      <c r="A6" s="529" t="s">
        <v>131</v>
      </c>
      <c r="B6" s="529">
        <v>91928</v>
      </c>
      <c r="C6" s="77" t="s">
        <v>1712</v>
      </c>
      <c r="D6" s="529" t="s">
        <v>75</v>
      </c>
      <c r="E6" s="528">
        <v>7650</v>
      </c>
      <c r="G6" s="529"/>
      <c r="H6" s="529"/>
      <c r="I6" s="77"/>
      <c r="J6" s="529"/>
      <c r="K6" s="528"/>
    </row>
    <row r="7" spans="1:11" ht="38.25" x14ac:dyDescent="0.25">
      <c r="A7" s="529" t="s">
        <v>132</v>
      </c>
      <c r="B7" s="529">
        <v>91930</v>
      </c>
      <c r="C7" s="77" t="s">
        <v>1713</v>
      </c>
      <c r="D7" s="529" t="s">
        <v>75</v>
      </c>
      <c r="E7" s="528">
        <v>2190</v>
      </c>
      <c r="G7" s="529"/>
      <c r="H7" s="529"/>
      <c r="I7" s="77"/>
      <c r="J7" s="529"/>
      <c r="K7" s="528"/>
    </row>
    <row r="8" spans="1:11" ht="25.5" x14ac:dyDescent="0.25">
      <c r="A8" s="529" t="s">
        <v>146</v>
      </c>
      <c r="B8" s="529">
        <v>92982</v>
      </c>
      <c r="C8" s="77" t="s">
        <v>1714</v>
      </c>
      <c r="D8" s="529" t="s">
        <v>75</v>
      </c>
      <c r="E8" s="528">
        <v>676</v>
      </c>
      <c r="G8" s="529"/>
      <c r="H8" s="529"/>
      <c r="I8" s="77"/>
      <c r="J8" s="529"/>
      <c r="K8" s="528"/>
    </row>
    <row r="9" spans="1:11" ht="25.5" x14ac:dyDescent="0.25">
      <c r="A9" s="529" t="s">
        <v>287</v>
      </c>
      <c r="B9" s="529">
        <v>92984</v>
      </c>
      <c r="C9" s="77" t="s">
        <v>1715</v>
      </c>
      <c r="D9" s="529" t="s">
        <v>75</v>
      </c>
      <c r="E9" s="528">
        <v>550</v>
      </c>
      <c r="G9" s="529"/>
      <c r="H9" s="529"/>
      <c r="I9" s="77"/>
      <c r="J9" s="529"/>
      <c r="K9" s="528"/>
    </row>
    <row r="10" spans="1:11" ht="25.5" x14ac:dyDescent="0.25">
      <c r="A10" s="529" t="s">
        <v>307</v>
      </c>
      <c r="B10" s="529">
        <v>92986</v>
      </c>
      <c r="C10" s="77" t="s">
        <v>1716</v>
      </c>
      <c r="D10" s="529" t="s">
        <v>75</v>
      </c>
      <c r="E10" s="528">
        <v>351</v>
      </c>
      <c r="G10" s="529"/>
      <c r="H10" s="529"/>
      <c r="I10" s="77"/>
      <c r="J10" s="529"/>
      <c r="K10" s="528"/>
    </row>
    <row r="11" spans="1:11" ht="25.5" x14ac:dyDescent="0.25">
      <c r="A11" s="529" t="s">
        <v>308</v>
      </c>
      <c r="B11" s="529">
        <v>92990</v>
      </c>
      <c r="C11" s="77" t="s">
        <v>1717</v>
      </c>
      <c r="D11" s="529" t="s">
        <v>75</v>
      </c>
      <c r="E11" s="528">
        <v>355</v>
      </c>
      <c r="G11" s="529"/>
      <c r="H11" s="529"/>
      <c r="I11" s="77"/>
      <c r="J11" s="529"/>
      <c r="K11" s="528"/>
    </row>
    <row r="12" spans="1:11" ht="25.5" x14ac:dyDescent="0.25">
      <c r="A12" s="529" t="s">
        <v>309</v>
      </c>
      <c r="B12" s="529">
        <v>92994</v>
      </c>
      <c r="C12" s="77" t="s">
        <v>1718</v>
      </c>
      <c r="D12" s="529" t="s">
        <v>75</v>
      </c>
      <c r="E12" s="528">
        <v>120</v>
      </c>
      <c r="G12" s="529"/>
      <c r="H12" s="529"/>
      <c r="I12" s="77"/>
      <c r="J12" s="529"/>
      <c r="K12" s="528"/>
    </row>
    <row r="13" spans="1:11" ht="38.25" x14ac:dyDescent="0.25">
      <c r="A13" s="529" t="s">
        <v>310</v>
      </c>
      <c r="B13" s="530" t="s">
        <v>1719</v>
      </c>
      <c r="C13" s="77" t="s">
        <v>1720</v>
      </c>
      <c r="D13" s="529" t="s">
        <v>69</v>
      </c>
      <c r="E13" s="531">
        <v>307</v>
      </c>
      <c r="G13" s="529"/>
      <c r="H13" s="530"/>
      <c r="I13" s="77"/>
      <c r="J13" s="529"/>
      <c r="K13" s="531"/>
    </row>
    <row r="14" spans="1:11" ht="25.5" x14ac:dyDescent="0.25">
      <c r="A14" s="529" t="s">
        <v>1721</v>
      </c>
      <c r="B14" s="529">
        <v>93043</v>
      </c>
      <c r="C14" s="77" t="s">
        <v>1722</v>
      </c>
      <c r="D14" s="529" t="s">
        <v>69</v>
      </c>
      <c r="E14" s="528">
        <v>13</v>
      </c>
      <c r="G14" s="529"/>
      <c r="H14" s="529"/>
      <c r="I14" s="77"/>
      <c r="J14" s="529"/>
      <c r="K14" s="528"/>
    </row>
    <row r="15" spans="1:11" ht="25.5" x14ac:dyDescent="0.25">
      <c r="A15" s="529" t="s">
        <v>1723</v>
      </c>
      <c r="B15" s="530" t="s">
        <v>280</v>
      </c>
      <c r="C15" s="77" t="s">
        <v>1724</v>
      </c>
      <c r="D15" s="529" t="s">
        <v>69</v>
      </c>
      <c r="E15" s="528">
        <v>25</v>
      </c>
      <c r="G15" s="529"/>
      <c r="H15" s="530"/>
      <c r="I15" s="77"/>
      <c r="J15" s="529"/>
      <c r="K15" s="528"/>
    </row>
    <row r="16" spans="1:11" ht="38.25" x14ac:dyDescent="0.25">
      <c r="A16" s="529" t="s">
        <v>1725</v>
      </c>
      <c r="B16" s="529">
        <v>92869</v>
      </c>
      <c r="C16" s="77" t="s">
        <v>1726</v>
      </c>
      <c r="D16" s="529" t="s">
        <v>69</v>
      </c>
      <c r="E16" s="531">
        <v>132</v>
      </c>
      <c r="G16" s="529"/>
      <c r="H16" s="529"/>
      <c r="I16" s="77"/>
      <c r="J16" s="529"/>
      <c r="K16" s="531"/>
    </row>
    <row r="17" spans="1:11" ht="25.5" x14ac:dyDescent="0.25">
      <c r="A17" s="529" t="s">
        <v>1727</v>
      </c>
      <c r="B17" s="529">
        <v>95796</v>
      </c>
      <c r="C17" s="77" t="s">
        <v>1728</v>
      </c>
      <c r="D17" s="529" t="s">
        <v>5</v>
      </c>
      <c r="E17" s="531">
        <v>5</v>
      </c>
      <c r="G17" s="529"/>
      <c r="H17" s="529"/>
      <c r="I17" s="77"/>
      <c r="J17" s="529"/>
      <c r="K17" s="531"/>
    </row>
    <row r="18" spans="1:11" ht="25.5" x14ac:dyDescent="0.25">
      <c r="A18" s="529" t="s">
        <v>1729</v>
      </c>
      <c r="B18" s="529">
        <v>95781</v>
      </c>
      <c r="C18" s="77" t="s">
        <v>1730</v>
      </c>
      <c r="D18" s="529" t="s">
        <v>5</v>
      </c>
      <c r="E18" s="528">
        <v>22</v>
      </c>
      <c r="G18" s="529"/>
      <c r="H18" s="529"/>
      <c r="I18" s="77"/>
      <c r="J18" s="529"/>
      <c r="K18" s="528"/>
    </row>
    <row r="19" spans="1:11" ht="25.5" x14ac:dyDescent="0.25">
      <c r="A19" s="529" t="s">
        <v>1731</v>
      </c>
      <c r="B19" s="529">
        <v>95782</v>
      </c>
      <c r="C19" s="77" t="s">
        <v>1732</v>
      </c>
      <c r="D19" s="529" t="s">
        <v>5</v>
      </c>
      <c r="E19" s="528">
        <v>6</v>
      </c>
      <c r="G19" s="529"/>
      <c r="H19" s="529"/>
      <c r="I19" s="77"/>
      <c r="J19" s="529"/>
      <c r="K19" s="528"/>
    </row>
    <row r="20" spans="1:11" ht="25.5" x14ac:dyDescent="0.25">
      <c r="A20" s="529" t="s">
        <v>1733</v>
      </c>
      <c r="B20" s="529">
        <v>95789</v>
      </c>
      <c r="C20" s="77" t="s">
        <v>1734</v>
      </c>
      <c r="D20" s="529" t="s">
        <v>5</v>
      </c>
      <c r="E20" s="528">
        <v>2</v>
      </c>
      <c r="G20" s="529"/>
      <c r="H20" s="529"/>
      <c r="I20" s="77"/>
      <c r="J20" s="529"/>
      <c r="K20" s="528"/>
    </row>
    <row r="21" spans="1:11" ht="25.5" x14ac:dyDescent="0.25">
      <c r="A21" s="529" t="s">
        <v>1735</v>
      </c>
      <c r="B21" s="529">
        <v>95802</v>
      </c>
      <c r="C21" s="77" t="s">
        <v>1736</v>
      </c>
      <c r="D21" s="529" t="s">
        <v>5</v>
      </c>
      <c r="E21" s="528">
        <v>1</v>
      </c>
      <c r="G21" s="529"/>
      <c r="H21" s="529"/>
      <c r="I21" s="77"/>
      <c r="J21" s="529"/>
      <c r="K21" s="528"/>
    </row>
    <row r="22" spans="1:11" ht="25.5" x14ac:dyDescent="0.25">
      <c r="A22" s="529" t="s">
        <v>1737</v>
      </c>
      <c r="B22" s="529">
        <v>91937</v>
      </c>
      <c r="C22" s="77" t="s">
        <v>1738</v>
      </c>
      <c r="D22" s="532" t="s">
        <v>69</v>
      </c>
      <c r="E22" s="531">
        <v>332</v>
      </c>
      <c r="G22" s="529"/>
      <c r="H22" s="529"/>
      <c r="I22" s="77"/>
      <c r="J22" s="532"/>
      <c r="K22" s="531"/>
    </row>
    <row r="23" spans="1:11" ht="25.5" x14ac:dyDescent="0.25">
      <c r="A23" s="529" t="s">
        <v>1739</v>
      </c>
      <c r="B23" s="529">
        <v>92001</v>
      </c>
      <c r="C23" s="77" t="s">
        <v>1740</v>
      </c>
      <c r="D23" s="529" t="s">
        <v>5</v>
      </c>
      <c r="E23" s="531"/>
      <c r="G23" s="529"/>
      <c r="H23" s="529"/>
      <c r="I23" s="77"/>
      <c r="J23" s="529"/>
      <c r="K23" s="531"/>
    </row>
    <row r="24" spans="1:11" ht="25.5" x14ac:dyDescent="0.25">
      <c r="A24" s="529" t="s">
        <v>1741</v>
      </c>
      <c r="B24" s="529">
        <v>92000</v>
      </c>
      <c r="C24" s="77" t="s">
        <v>1742</v>
      </c>
      <c r="D24" s="529" t="s">
        <v>5</v>
      </c>
      <c r="E24" s="528">
        <v>142</v>
      </c>
      <c r="G24" s="529"/>
      <c r="H24" s="529"/>
      <c r="I24" s="77"/>
      <c r="J24" s="529"/>
      <c r="K24" s="528"/>
    </row>
    <row r="25" spans="1:11" ht="25.5" x14ac:dyDescent="0.25">
      <c r="A25" s="529" t="s">
        <v>1743</v>
      </c>
      <c r="B25" s="529">
        <v>91953</v>
      </c>
      <c r="C25" s="77" t="s">
        <v>1744</v>
      </c>
      <c r="D25" s="529" t="s">
        <v>69</v>
      </c>
      <c r="E25" s="528">
        <v>26</v>
      </c>
      <c r="G25" s="529"/>
      <c r="H25" s="529"/>
      <c r="I25" s="77"/>
      <c r="J25" s="529"/>
      <c r="K25" s="528"/>
    </row>
    <row r="26" spans="1:11" ht="25.5" x14ac:dyDescent="0.25">
      <c r="A26" s="529" t="s">
        <v>1745</v>
      </c>
      <c r="B26" s="529">
        <v>91956</v>
      </c>
      <c r="C26" s="77" t="s">
        <v>1746</v>
      </c>
      <c r="D26" s="529" t="s">
        <v>69</v>
      </c>
      <c r="E26" s="528">
        <v>4</v>
      </c>
      <c r="G26" s="529"/>
      <c r="H26" s="529"/>
      <c r="I26" s="77"/>
      <c r="J26" s="529"/>
      <c r="K26" s="528"/>
    </row>
    <row r="27" spans="1:11" ht="25.5" x14ac:dyDescent="0.25">
      <c r="A27" s="529" t="s">
        <v>1747</v>
      </c>
      <c r="B27" s="529">
        <v>91966</v>
      </c>
      <c r="C27" s="77" t="s">
        <v>1748</v>
      </c>
      <c r="D27" s="529" t="s">
        <v>69</v>
      </c>
      <c r="E27" s="528">
        <v>24</v>
      </c>
      <c r="G27" s="529"/>
      <c r="H27" s="529"/>
      <c r="I27" s="77"/>
      <c r="J27" s="529"/>
      <c r="K27" s="528"/>
    </row>
    <row r="28" spans="1:11" ht="51" x14ac:dyDescent="0.25">
      <c r="A28" s="529" t="s">
        <v>1749</v>
      </c>
      <c r="B28" s="529" t="s">
        <v>281</v>
      </c>
      <c r="C28" s="77" t="s">
        <v>1750</v>
      </c>
      <c r="D28" s="529" t="s">
        <v>69</v>
      </c>
      <c r="E28" s="528">
        <v>2</v>
      </c>
      <c r="G28" s="529"/>
      <c r="H28" s="529"/>
      <c r="I28" s="77"/>
      <c r="J28" s="529"/>
      <c r="K28" s="528"/>
    </row>
    <row r="29" spans="1:11" ht="51" x14ac:dyDescent="0.25">
      <c r="A29" s="529" t="s">
        <v>1751</v>
      </c>
      <c r="B29" s="529" t="s">
        <v>282</v>
      </c>
      <c r="C29" s="77" t="s">
        <v>1752</v>
      </c>
      <c r="D29" s="529" t="s">
        <v>69</v>
      </c>
      <c r="E29" s="528">
        <v>1</v>
      </c>
      <c r="G29" s="529"/>
      <c r="H29" s="529"/>
      <c r="I29" s="77"/>
      <c r="J29" s="529"/>
      <c r="K29" s="528"/>
    </row>
    <row r="30" spans="1:11" ht="51" x14ac:dyDescent="0.25">
      <c r="A30" s="529" t="s">
        <v>1753</v>
      </c>
      <c r="B30" s="529" t="s">
        <v>162</v>
      </c>
      <c r="C30" s="77" t="s">
        <v>1754</v>
      </c>
      <c r="D30" s="529" t="s">
        <v>69</v>
      </c>
      <c r="E30" s="528">
        <v>3</v>
      </c>
      <c r="G30" s="529"/>
      <c r="H30" s="529"/>
      <c r="I30" s="77"/>
      <c r="J30" s="529"/>
      <c r="K30" s="528"/>
    </row>
    <row r="31" spans="1:11" ht="51" x14ac:dyDescent="0.25">
      <c r="A31" s="529" t="s">
        <v>1755</v>
      </c>
      <c r="B31" s="529" t="s">
        <v>283</v>
      </c>
      <c r="C31" s="77" t="s">
        <v>1756</v>
      </c>
      <c r="D31" s="529" t="s">
        <v>69</v>
      </c>
      <c r="E31" s="528">
        <v>3</v>
      </c>
      <c r="G31" s="529"/>
      <c r="H31" s="529"/>
      <c r="I31" s="77"/>
      <c r="J31" s="529"/>
      <c r="K31" s="528"/>
    </row>
    <row r="32" spans="1:11" ht="51" x14ac:dyDescent="0.25">
      <c r="A32" s="529" t="s">
        <v>1757</v>
      </c>
      <c r="B32" s="530" t="s">
        <v>1758</v>
      </c>
      <c r="C32" s="77" t="s">
        <v>1759</v>
      </c>
      <c r="D32" s="529" t="s">
        <v>5</v>
      </c>
      <c r="E32" s="528">
        <v>1</v>
      </c>
      <c r="G32" s="529"/>
      <c r="H32" s="530"/>
      <c r="I32" s="77"/>
      <c r="J32" s="529"/>
      <c r="K32" s="528"/>
    </row>
    <row r="33" spans="1:11" ht="25.5" x14ac:dyDescent="0.25">
      <c r="A33" s="529" t="s">
        <v>1760</v>
      </c>
      <c r="B33" s="530" t="s">
        <v>1680</v>
      </c>
      <c r="C33" s="77" t="s">
        <v>1761</v>
      </c>
      <c r="D33" s="529" t="s">
        <v>75</v>
      </c>
      <c r="E33" s="528">
        <v>6</v>
      </c>
      <c r="G33" s="529"/>
      <c r="H33" s="530"/>
      <c r="I33" s="77"/>
      <c r="J33" s="529"/>
      <c r="K33" s="528"/>
    </row>
    <row r="34" spans="1:11" ht="25.5" x14ac:dyDescent="0.25">
      <c r="A34" s="529" t="s">
        <v>1762</v>
      </c>
      <c r="B34" s="530" t="s">
        <v>1687</v>
      </c>
      <c r="C34" s="77" t="s">
        <v>1763</v>
      </c>
      <c r="D34" s="529" t="s">
        <v>75</v>
      </c>
      <c r="E34" s="528">
        <v>3</v>
      </c>
      <c r="G34" s="529"/>
      <c r="H34" s="530"/>
      <c r="I34" s="77"/>
      <c r="J34" s="529"/>
      <c r="K34" s="528"/>
    </row>
    <row r="35" spans="1:11" ht="25.5" x14ac:dyDescent="0.25">
      <c r="A35" s="529" t="s">
        <v>1764</v>
      </c>
      <c r="B35" s="529">
        <v>93653</v>
      </c>
      <c r="C35" s="77" t="s">
        <v>1765</v>
      </c>
      <c r="D35" s="529" t="s">
        <v>69</v>
      </c>
      <c r="E35" s="528">
        <v>16</v>
      </c>
      <c r="G35" s="529"/>
      <c r="H35" s="529"/>
      <c r="I35" s="77"/>
      <c r="J35" s="529"/>
      <c r="K35" s="528"/>
    </row>
    <row r="36" spans="1:11" ht="25.5" x14ac:dyDescent="0.25">
      <c r="A36" s="529" t="s">
        <v>1766</v>
      </c>
      <c r="B36" s="529">
        <v>93654</v>
      </c>
      <c r="C36" s="77" t="s">
        <v>1767</v>
      </c>
      <c r="D36" s="529" t="s">
        <v>69</v>
      </c>
      <c r="E36" s="528">
        <v>2</v>
      </c>
      <c r="G36" s="529"/>
      <c r="H36" s="529"/>
      <c r="I36" s="77"/>
      <c r="J36" s="529"/>
      <c r="K36" s="528"/>
    </row>
    <row r="37" spans="1:11" ht="25.5" x14ac:dyDescent="0.25">
      <c r="A37" s="529" t="s">
        <v>1768</v>
      </c>
      <c r="B37" s="529">
        <v>93655</v>
      </c>
      <c r="C37" s="77" t="s">
        <v>1769</v>
      </c>
      <c r="D37" s="529" t="s">
        <v>69</v>
      </c>
      <c r="E37" s="528">
        <v>2</v>
      </c>
      <c r="G37" s="529"/>
      <c r="H37" s="529"/>
      <c r="I37" s="77"/>
      <c r="J37" s="529"/>
      <c r="K37" s="528"/>
    </row>
    <row r="38" spans="1:11" ht="25.5" x14ac:dyDescent="0.25">
      <c r="A38" s="529" t="s">
        <v>1770</v>
      </c>
      <c r="B38" s="529">
        <v>93656</v>
      </c>
      <c r="C38" s="77" t="s">
        <v>1771</v>
      </c>
      <c r="D38" s="529" t="s">
        <v>69</v>
      </c>
      <c r="E38" s="528">
        <v>1</v>
      </c>
      <c r="G38" s="529"/>
      <c r="H38" s="529"/>
      <c r="I38" s="77"/>
      <c r="J38" s="529"/>
      <c r="K38" s="528"/>
    </row>
    <row r="39" spans="1:11" x14ac:dyDescent="0.25">
      <c r="A39" s="529" t="s">
        <v>1772</v>
      </c>
      <c r="B39" s="529">
        <v>93660</v>
      </c>
      <c r="C39" s="533" t="s">
        <v>1773</v>
      </c>
      <c r="D39" s="529" t="s">
        <v>69</v>
      </c>
      <c r="E39" s="528">
        <v>16</v>
      </c>
      <c r="G39" s="529"/>
      <c r="H39" s="529"/>
      <c r="I39" s="533"/>
      <c r="J39" s="529"/>
      <c r="K39" s="528"/>
    </row>
    <row r="40" spans="1:11" x14ac:dyDescent="0.25">
      <c r="A40" s="529" t="s">
        <v>1774</v>
      </c>
      <c r="B40" s="529">
        <v>93661</v>
      </c>
      <c r="C40" s="533" t="s">
        <v>1775</v>
      </c>
      <c r="D40" s="529" t="s">
        <v>69</v>
      </c>
      <c r="E40" s="528">
        <v>3</v>
      </c>
      <c r="G40" s="529"/>
      <c r="H40" s="529"/>
      <c r="I40" s="533"/>
      <c r="J40" s="529"/>
      <c r="K40" s="528"/>
    </row>
    <row r="41" spans="1:11" x14ac:dyDescent="0.25">
      <c r="A41" s="529" t="s">
        <v>1776</v>
      </c>
      <c r="B41" s="529">
        <v>93662</v>
      </c>
      <c r="C41" s="533" t="s">
        <v>1777</v>
      </c>
      <c r="D41" s="529" t="s">
        <v>69</v>
      </c>
      <c r="E41" s="528">
        <v>61</v>
      </c>
      <c r="G41" s="529"/>
      <c r="H41" s="529"/>
      <c r="I41" s="533"/>
      <c r="J41" s="529"/>
      <c r="K41" s="528"/>
    </row>
    <row r="42" spans="1:11" x14ac:dyDescent="0.25">
      <c r="A42" s="529" t="s">
        <v>1778</v>
      </c>
      <c r="B42" s="530">
        <v>93656</v>
      </c>
      <c r="C42" s="533" t="s">
        <v>1779</v>
      </c>
      <c r="D42" s="529" t="s">
        <v>69</v>
      </c>
      <c r="E42" s="528">
        <v>1</v>
      </c>
      <c r="G42" s="529"/>
      <c r="H42" s="530"/>
      <c r="I42" s="533"/>
      <c r="J42" s="529"/>
      <c r="K42" s="528"/>
    </row>
    <row r="43" spans="1:11" x14ac:dyDescent="0.25">
      <c r="A43" s="529" t="s">
        <v>1782</v>
      </c>
      <c r="B43" s="530" t="s">
        <v>1780</v>
      </c>
      <c r="C43" s="533" t="s">
        <v>1781</v>
      </c>
      <c r="D43" s="529" t="s">
        <v>69</v>
      </c>
      <c r="E43" s="528">
        <v>2</v>
      </c>
      <c r="G43" s="529"/>
      <c r="H43" s="530"/>
      <c r="I43" s="533"/>
      <c r="J43" s="529"/>
      <c r="K43" s="528"/>
    </row>
    <row r="44" spans="1:11" x14ac:dyDescent="0.25">
      <c r="A44" s="529" t="s">
        <v>1784</v>
      </c>
      <c r="B44" s="530">
        <v>93671</v>
      </c>
      <c r="C44" s="533" t="s">
        <v>1783</v>
      </c>
      <c r="D44" s="529" t="s">
        <v>69</v>
      </c>
      <c r="E44" s="528">
        <v>2</v>
      </c>
      <c r="G44" s="529"/>
      <c r="H44" s="530"/>
      <c r="I44" s="533"/>
      <c r="J44" s="529"/>
      <c r="K44" s="528"/>
    </row>
    <row r="45" spans="1:11" ht="25.5" x14ac:dyDescent="0.25">
      <c r="A45" s="529" t="s">
        <v>1787</v>
      </c>
      <c r="B45" s="530" t="s">
        <v>1785</v>
      </c>
      <c r="C45" s="534" t="s">
        <v>1786</v>
      </c>
      <c r="D45" s="535" t="s">
        <v>5</v>
      </c>
      <c r="E45" s="531">
        <v>4</v>
      </c>
      <c r="G45" s="529"/>
      <c r="H45" s="530"/>
      <c r="I45" s="534"/>
      <c r="J45" s="535"/>
      <c r="K45" s="531"/>
    </row>
    <row r="46" spans="1:11" ht="25.5" x14ac:dyDescent="0.25">
      <c r="A46" s="529" t="s">
        <v>1789</v>
      </c>
      <c r="B46" s="529" t="s">
        <v>161</v>
      </c>
      <c r="C46" s="77" t="s">
        <v>1788</v>
      </c>
      <c r="D46" s="529" t="s">
        <v>69</v>
      </c>
      <c r="E46" s="528">
        <v>12</v>
      </c>
      <c r="G46" s="529"/>
      <c r="H46" s="529"/>
      <c r="I46" s="77"/>
      <c r="J46" s="529"/>
      <c r="K46" s="528"/>
    </row>
    <row r="47" spans="1:11" ht="25.5" x14ac:dyDescent="0.25">
      <c r="A47" s="529" t="s">
        <v>1791</v>
      </c>
      <c r="B47" s="529" t="s">
        <v>284</v>
      </c>
      <c r="C47" s="77" t="s">
        <v>1790</v>
      </c>
      <c r="D47" s="529" t="s">
        <v>69</v>
      </c>
      <c r="E47" s="528">
        <v>4</v>
      </c>
      <c r="G47" s="529"/>
      <c r="H47" s="529"/>
      <c r="I47" s="77"/>
      <c r="J47" s="529"/>
      <c r="K47" s="528"/>
    </row>
    <row r="48" spans="1:11" ht="25.5" x14ac:dyDescent="0.25">
      <c r="A48" s="529" t="s">
        <v>1792</v>
      </c>
      <c r="B48" s="529" t="s">
        <v>353</v>
      </c>
      <c r="C48" s="77" t="s">
        <v>1793</v>
      </c>
      <c r="D48" s="529" t="s">
        <v>69</v>
      </c>
      <c r="E48" s="528">
        <v>1</v>
      </c>
      <c r="G48" s="529"/>
      <c r="H48" s="529"/>
      <c r="I48" s="77"/>
      <c r="J48" s="529"/>
      <c r="K48" s="528"/>
    </row>
    <row r="49" spans="1:11" ht="38.25" x14ac:dyDescent="0.25">
      <c r="A49" s="529" t="s">
        <v>1794</v>
      </c>
      <c r="B49" s="529">
        <v>91836</v>
      </c>
      <c r="C49" s="77" t="s">
        <v>1795</v>
      </c>
      <c r="D49" s="529" t="s">
        <v>99</v>
      </c>
      <c r="E49" s="528">
        <v>1455</v>
      </c>
      <c r="G49" s="529"/>
      <c r="H49" s="529"/>
      <c r="I49" s="77"/>
      <c r="J49" s="529"/>
      <c r="K49" s="528"/>
    </row>
    <row r="50" spans="1:11" ht="38.25" x14ac:dyDescent="0.25">
      <c r="A50" s="529" t="s">
        <v>1796</v>
      </c>
      <c r="B50" s="529" t="s">
        <v>285</v>
      </c>
      <c r="C50" s="77" t="s">
        <v>1797</v>
      </c>
      <c r="D50" s="529" t="s">
        <v>99</v>
      </c>
      <c r="E50" s="528">
        <v>576</v>
      </c>
      <c r="G50" s="529"/>
      <c r="H50" s="529"/>
      <c r="I50" s="77"/>
      <c r="J50" s="529"/>
      <c r="K50" s="528"/>
    </row>
    <row r="51" spans="1:11" ht="38.25" x14ac:dyDescent="0.25">
      <c r="A51" s="529" t="s">
        <v>1798</v>
      </c>
      <c r="B51" s="529" t="s">
        <v>286</v>
      </c>
      <c r="C51" s="77" t="s">
        <v>1815</v>
      </c>
      <c r="D51" s="529" t="s">
        <v>99</v>
      </c>
      <c r="E51" s="528">
        <v>303</v>
      </c>
      <c r="G51" s="529"/>
      <c r="H51" s="529"/>
      <c r="I51" s="77"/>
      <c r="J51" s="529"/>
      <c r="K51" s="528"/>
    </row>
    <row r="52" spans="1:11" ht="38.25" x14ac:dyDescent="0.25">
      <c r="A52" s="529" t="s">
        <v>1799</v>
      </c>
      <c r="B52" s="529">
        <v>91868</v>
      </c>
      <c r="C52" s="77" t="s">
        <v>732</v>
      </c>
      <c r="D52" s="535" t="s">
        <v>99</v>
      </c>
      <c r="E52" s="528">
        <v>356</v>
      </c>
      <c r="G52" s="529"/>
      <c r="H52" s="529"/>
      <c r="I52" s="77"/>
      <c r="J52" s="535"/>
      <c r="K52" s="528"/>
    </row>
    <row r="53" spans="1:11" x14ac:dyDescent="0.25">
      <c r="A53" s="529" t="s">
        <v>1801</v>
      </c>
      <c r="B53" s="529">
        <v>83450</v>
      </c>
      <c r="C53" s="77" t="s">
        <v>1800</v>
      </c>
      <c r="D53" s="535" t="s">
        <v>5</v>
      </c>
      <c r="E53" s="528">
        <v>3</v>
      </c>
      <c r="G53" s="529"/>
      <c r="H53" s="529"/>
      <c r="I53" s="77"/>
      <c r="J53" s="535"/>
      <c r="K53" s="528"/>
    </row>
    <row r="54" spans="1:11" x14ac:dyDescent="0.25">
      <c r="A54" s="529" t="s">
        <v>1803</v>
      </c>
      <c r="B54" s="529">
        <v>83449</v>
      </c>
      <c r="C54" s="77" t="s">
        <v>1802</v>
      </c>
      <c r="D54" s="529" t="s">
        <v>69</v>
      </c>
      <c r="E54" s="528">
        <v>23</v>
      </c>
      <c r="G54" s="529"/>
      <c r="H54" s="529"/>
      <c r="I54" s="77"/>
      <c r="J54" s="529"/>
      <c r="K54" s="528"/>
    </row>
    <row r="55" spans="1:11" x14ac:dyDescent="0.25">
      <c r="A55" s="529" t="s">
        <v>1805</v>
      </c>
      <c r="B55" s="529">
        <v>83447</v>
      </c>
      <c r="C55" s="77" t="s">
        <v>1804</v>
      </c>
      <c r="D55" s="529" t="s">
        <v>69</v>
      </c>
      <c r="E55" s="528">
        <v>37</v>
      </c>
      <c r="G55" s="529"/>
      <c r="H55" s="529"/>
      <c r="I55" s="77"/>
      <c r="J55" s="529"/>
      <c r="K55" s="528"/>
    </row>
    <row r="56" spans="1:11" ht="38.25" x14ac:dyDescent="0.25">
      <c r="A56" s="529" t="s">
        <v>1806</v>
      </c>
      <c r="B56" s="68" t="s">
        <v>2936</v>
      </c>
      <c r="C56" s="77" t="s">
        <v>1807</v>
      </c>
      <c r="D56" s="535" t="s">
        <v>5</v>
      </c>
      <c r="E56" s="528">
        <v>46</v>
      </c>
      <c r="G56" s="529"/>
      <c r="H56" s="530"/>
      <c r="I56" s="77"/>
      <c r="J56" s="535"/>
      <c r="K56" s="528"/>
    </row>
    <row r="57" spans="1:11" ht="25.5" x14ac:dyDescent="0.25">
      <c r="A57" s="529" t="s">
        <v>1808</v>
      </c>
      <c r="B57" s="529" t="s">
        <v>2682</v>
      </c>
      <c r="C57" s="77" t="s">
        <v>2683</v>
      </c>
      <c r="D57" s="535" t="s">
        <v>5</v>
      </c>
      <c r="E57" s="528">
        <v>34</v>
      </c>
      <c r="G57" s="529"/>
      <c r="H57" s="529"/>
      <c r="I57" s="77"/>
      <c r="J57" s="535"/>
      <c r="K57" s="528"/>
    </row>
    <row r="58" spans="1:11" x14ac:dyDescent="0.25">
      <c r="A58" s="529" t="s">
        <v>1809</v>
      </c>
      <c r="B58" s="529" t="s">
        <v>3077</v>
      </c>
      <c r="C58" s="526" t="s">
        <v>3067</v>
      </c>
      <c r="D58" s="527" t="s">
        <v>75</v>
      </c>
      <c r="E58" s="528">
        <v>180</v>
      </c>
      <c r="G58" s="529"/>
      <c r="H58" s="529"/>
      <c r="I58" s="77"/>
      <c r="J58" s="529"/>
      <c r="K58" s="528"/>
    </row>
    <row r="59" spans="1:11" x14ac:dyDescent="0.25">
      <c r="A59" s="529" t="s">
        <v>1810</v>
      </c>
      <c r="B59" s="529">
        <v>91996</v>
      </c>
      <c r="C59" s="526" t="s">
        <v>3068</v>
      </c>
      <c r="D59" s="527" t="s">
        <v>961</v>
      </c>
      <c r="E59" s="528">
        <v>25</v>
      </c>
      <c r="G59" s="529"/>
      <c r="H59" s="529"/>
      <c r="I59" s="77"/>
      <c r="J59" s="529"/>
      <c r="K59" s="528"/>
    </row>
    <row r="60" spans="1:11" x14ac:dyDescent="0.25">
      <c r="A60" s="529" t="s">
        <v>1811</v>
      </c>
      <c r="B60" s="529">
        <v>91992</v>
      </c>
      <c r="C60" s="526" t="s">
        <v>3069</v>
      </c>
      <c r="D60" s="527" t="s">
        <v>961</v>
      </c>
      <c r="E60" s="528">
        <v>42</v>
      </c>
      <c r="G60" s="77"/>
      <c r="H60" s="77"/>
      <c r="I60" s="77"/>
      <c r="J60" s="529"/>
      <c r="K60" s="528"/>
    </row>
    <row r="61" spans="1:11" x14ac:dyDescent="0.25">
      <c r="A61" s="529" t="s">
        <v>3190</v>
      </c>
      <c r="B61" s="529">
        <v>91993</v>
      </c>
      <c r="C61" s="526" t="s">
        <v>3070</v>
      </c>
      <c r="D61" s="527" t="s">
        <v>961</v>
      </c>
      <c r="E61" s="528">
        <v>56</v>
      </c>
      <c r="G61" s="529"/>
      <c r="H61" s="529"/>
      <c r="I61" s="77"/>
      <c r="J61" s="529"/>
      <c r="K61" s="528"/>
    </row>
    <row r="62" spans="1:11" x14ac:dyDescent="0.25">
      <c r="A62" s="529" t="s">
        <v>3191</v>
      </c>
      <c r="B62" s="529">
        <v>91940</v>
      </c>
      <c r="C62" s="526" t="s">
        <v>3071</v>
      </c>
      <c r="D62" s="527" t="s">
        <v>961</v>
      </c>
      <c r="E62" s="289">
        <v>68</v>
      </c>
      <c r="G62" s="529"/>
      <c r="H62" s="529"/>
      <c r="I62" s="77"/>
      <c r="J62" s="529"/>
      <c r="K62" s="536"/>
    </row>
    <row r="63" spans="1:11" x14ac:dyDescent="0.25">
      <c r="A63" s="529" t="s">
        <v>3192</v>
      </c>
      <c r="B63" s="529">
        <v>91939</v>
      </c>
      <c r="C63" s="526" t="s">
        <v>3072</v>
      </c>
      <c r="D63" s="527" t="s">
        <v>961</v>
      </c>
      <c r="E63" s="289">
        <v>111</v>
      </c>
      <c r="G63" s="529"/>
      <c r="H63" s="529"/>
      <c r="I63" s="77"/>
      <c r="J63" s="529"/>
      <c r="K63" s="536"/>
    </row>
    <row r="64" spans="1:11" x14ac:dyDescent="0.25">
      <c r="A64" s="529" t="s">
        <v>3193</v>
      </c>
      <c r="B64" s="529">
        <v>91856</v>
      </c>
      <c r="C64" s="526" t="s">
        <v>3073</v>
      </c>
      <c r="D64" s="527" t="s">
        <v>75</v>
      </c>
      <c r="E64" s="289">
        <v>605</v>
      </c>
      <c r="G64" s="529"/>
      <c r="H64" s="529"/>
      <c r="I64" s="77"/>
      <c r="J64" s="529"/>
      <c r="K64" s="536"/>
    </row>
    <row r="65" spans="1:11" x14ac:dyDescent="0.25">
      <c r="A65" s="529" t="s">
        <v>3194</v>
      </c>
      <c r="B65" s="529">
        <v>91844</v>
      </c>
      <c r="C65" s="526" t="s">
        <v>3074</v>
      </c>
      <c r="D65" s="527" t="s">
        <v>75</v>
      </c>
      <c r="E65" s="289">
        <v>118</v>
      </c>
      <c r="G65" s="529"/>
      <c r="H65" s="529"/>
      <c r="I65" s="77"/>
      <c r="J65" s="529"/>
      <c r="K65" s="536"/>
    </row>
    <row r="66" spans="1:11" x14ac:dyDescent="0.25">
      <c r="A66" s="529" t="s">
        <v>3195</v>
      </c>
      <c r="B66" s="529" t="s">
        <v>2562</v>
      </c>
      <c r="C66" s="526" t="s">
        <v>3075</v>
      </c>
      <c r="D66" s="527" t="s">
        <v>75</v>
      </c>
      <c r="E66" s="289">
        <v>190</v>
      </c>
      <c r="G66" s="529"/>
      <c r="H66" s="529"/>
      <c r="I66" s="77"/>
      <c r="J66" s="529"/>
      <c r="K66" s="536"/>
    </row>
    <row r="67" spans="1:11" x14ac:dyDescent="0.25">
      <c r="A67" s="529" t="s">
        <v>3196</v>
      </c>
      <c r="B67" s="529" t="s">
        <v>285</v>
      </c>
      <c r="C67" s="526" t="s">
        <v>3091</v>
      </c>
      <c r="D67" s="527" t="s">
        <v>75</v>
      </c>
      <c r="E67" s="289">
        <v>211</v>
      </c>
      <c r="G67" s="529"/>
      <c r="H67" s="529"/>
      <c r="I67" s="77"/>
      <c r="J67" s="529"/>
      <c r="K67" s="536"/>
    </row>
    <row r="68" spans="1:11" ht="25.5" x14ac:dyDescent="0.25">
      <c r="A68" s="529" t="s">
        <v>3197</v>
      </c>
      <c r="B68" s="529">
        <v>93657</v>
      </c>
      <c r="C68" s="77" t="s">
        <v>3188</v>
      </c>
      <c r="D68" s="527" t="s">
        <v>69</v>
      </c>
      <c r="E68" s="289">
        <v>2</v>
      </c>
      <c r="G68" s="529"/>
      <c r="H68" s="529"/>
      <c r="I68" s="77"/>
      <c r="J68" s="529"/>
      <c r="K68" s="536"/>
    </row>
    <row r="69" spans="1:11" ht="15.75" x14ac:dyDescent="0.25">
      <c r="B69" s="68"/>
    </row>
  </sheetData>
  <mergeCells count="2"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I38"/>
  <sheetViews>
    <sheetView workbookViewId="0">
      <selection activeCell="A4" sqref="A4:H4"/>
    </sheetView>
  </sheetViews>
  <sheetFormatPr defaultColWidth="9.140625" defaultRowHeight="15.75" x14ac:dyDescent="0.25"/>
  <cols>
    <col min="1" max="1" width="10.7109375" style="63" customWidth="1"/>
    <col min="2" max="2" width="17.140625" style="63" customWidth="1"/>
    <col min="3" max="3" width="66.7109375" style="57" customWidth="1"/>
    <col min="4" max="4" width="13" style="63" customWidth="1"/>
    <col min="5" max="5" width="11.85546875" style="73" bestFit="1" customWidth="1"/>
    <col min="6" max="6" width="11.85546875" style="73" hidden="1" customWidth="1"/>
    <col min="7" max="7" width="12.7109375" style="277" hidden="1" customWidth="1"/>
    <col min="8" max="8" width="18.42578125" style="277" hidden="1" customWidth="1"/>
    <col min="9" max="9" width="20.5703125" style="57" hidden="1" customWidth="1"/>
    <col min="10" max="11" width="0" style="57" hidden="1" customWidth="1"/>
    <col min="12" max="16384" width="9.140625" style="57"/>
  </cols>
  <sheetData>
    <row r="1" spans="1:9" ht="16.5" thickBot="1" x14ac:dyDescent="0.3">
      <c r="A1" s="58"/>
      <c r="B1" s="59"/>
      <c r="C1" s="60"/>
      <c r="D1" s="61"/>
      <c r="E1" s="62"/>
      <c r="F1" s="62"/>
      <c r="G1" s="62"/>
      <c r="H1" s="62"/>
    </row>
    <row r="2" spans="1:9" ht="16.5" thickTop="1" x14ac:dyDescent="0.25">
      <c r="A2" s="696" t="s">
        <v>36</v>
      </c>
      <c r="B2" s="696"/>
      <c r="C2" s="696"/>
      <c r="D2" s="696"/>
      <c r="E2" s="696"/>
      <c r="F2" s="696"/>
      <c r="G2" s="696"/>
      <c r="H2" s="696"/>
    </row>
    <row r="3" spans="1:9" s="63" customFormat="1" x14ac:dyDescent="0.25">
      <c r="A3" s="82" t="s">
        <v>0</v>
      </c>
      <c r="B3" s="82" t="s">
        <v>4</v>
      </c>
      <c r="C3" s="82" t="s">
        <v>1</v>
      </c>
      <c r="D3" s="82" t="s">
        <v>5</v>
      </c>
      <c r="E3" s="83" t="s">
        <v>6</v>
      </c>
      <c r="F3" s="750" t="s">
        <v>1668</v>
      </c>
      <c r="G3" s="750"/>
      <c r="H3" s="750"/>
    </row>
    <row r="4" spans="1:9" ht="15.75" customHeight="1" x14ac:dyDescent="0.25">
      <c r="A4" s="751" t="s">
        <v>166</v>
      </c>
      <c r="B4" s="751"/>
      <c r="C4" s="751"/>
      <c r="D4" s="751"/>
      <c r="E4" s="751"/>
      <c r="F4" s="751"/>
      <c r="G4" s="751"/>
      <c r="H4" s="751"/>
    </row>
    <row r="5" spans="1:9" x14ac:dyDescent="0.25">
      <c r="A5" s="170"/>
      <c r="B5" s="170"/>
      <c r="C5" s="268" t="s">
        <v>1669</v>
      </c>
      <c r="D5" s="170"/>
      <c r="E5" s="172"/>
      <c r="F5" s="172"/>
      <c r="G5" s="269"/>
      <c r="H5" s="269"/>
    </row>
    <row r="6" spans="1:9" s="121" customFormat="1" ht="31.5" customHeight="1" x14ac:dyDescent="0.25">
      <c r="A6" s="270"/>
      <c r="B6" s="115" t="s">
        <v>1670</v>
      </c>
      <c r="C6" s="116" t="s">
        <v>1671</v>
      </c>
      <c r="D6" s="120" t="s">
        <v>69</v>
      </c>
      <c r="E6" s="445">
        <v>95</v>
      </c>
      <c r="F6" s="752" t="s">
        <v>1672</v>
      </c>
      <c r="G6" s="752"/>
      <c r="H6" s="752"/>
      <c r="I6" s="271" t="s">
        <v>1673</v>
      </c>
    </row>
    <row r="7" spans="1:9" s="121" customFormat="1" ht="31.5" x14ac:dyDescent="0.25">
      <c r="A7" s="270"/>
      <c r="B7" s="115" t="s">
        <v>1674</v>
      </c>
      <c r="C7" s="116" t="s">
        <v>1675</v>
      </c>
      <c r="D7" s="115" t="s">
        <v>69</v>
      </c>
      <c r="E7" s="445">
        <v>13</v>
      </c>
      <c r="F7" s="753" t="s">
        <v>1676</v>
      </c>
      <c r="G7" s="753"/>
      <c r="H7" s="753"/>
    </row>
    <row r="8" spans="1:9" s="121" customFormat="1" ht="31.5" customHeight="1" x14ac:dyDescent="0.25">
      <c r="A8" s="270"/>
      <c r="B8" s="115" t="s">
        <v>935</v>
      </c>
      <c r="C8" s="116" t="s">
        <v>934</v>
      </c>
      <c r="D8" s="115" t="s">
        <v>272</v>
      </c>
      <c r="E8" s="445">
        <v>569</v>
      </c>
      <c r="F8" s="753" t="s">
        <v>1677</v>
      </c>
      <c r="G8" s="753"/>
      <c r="H8" s="753"/>
    </row>
    <row r="9" spans="1:9" s="121" customFormat="1" ht="47.25" customHeight="1" x14ac:dyDescent="0.25">
      <c r="A9" s="270"/>
      <c r="B9" s="115">
        <v>72315</v>
      </c>
      <c r="C9" s="116" t="s">
        <v>737</v>
      </c>
      <c r="D9" s="120" t="s">
        <v>69</v>
      </c>
      <c r="E9" s="445">
        <v>250</v>
      </c>
      <c r="F9" s="753" t="s">
        <v>1678</v>
      </c>
      <c r="G9" s="753"/>
      <c r="H9" s="753"/>
      <c r="I9" s="121" t="s">
        <v>1679</v>
      </c>
    </row>
    <row r="10" spans="1:9" s="121" customFormat="1" x14ac:dyDescent="0.25">
      <c r="A10" s="270"/>
      <c r="B10" s="272" t="s">
        <v>1680</v>
      </c>
      <c r="C10" s="273" t="str">
        <f>UPPER("Suporte guia simples Tel-220")</f>
        <v>SUPORTE GUIA SIMPLES TEL-220</v>
      </c>
      <c r="D10" s="272" t="s">
        <v>69</v>
      </c>
      <c r="E10" s="445">
        <v>622</v>
      </c>
      <c r="F10" s="749"/>
      <c r="G10" s="749"/>
      <c r="H10" s="749"/>
    </row>
    <row r="11" spans="1:9" s="121" customFormat="1" ht="31.5" x14ac:dyDescent="0.25">
      <c r="A11" s="270"/>
      <c r="B11" s="115" t="s">
        <v>932</v>
      </c>
      <c r="C11" s="116" t="s">
        <v>933</v>
      </c>
      <c r="D11" s="120" t="s">
        <v>69</v>
      </c>
      <c r="E11" s="445">
        <v>58</v>
      </c>
      <c r="F11" s="749"/>
      <c r="G11" s="749"/>
      <c r="H11" s="749"/>
      <c r="I11" s="121" t="s">
        <v>1681</v>
      </c>
    </row>
    <row r="12" spans="1:9" s="121" customFormat="1" ht="31.5" x14ac:dyDescent="0.25">
      <c r="A12" s="270"/>
      <c r="B12" s="115">
        <v>72262</v>
      </c>
      <c r="C12" s="116" t="s">
        <v>735</v>
      </c>
      <c r="D12" s="120" t="s">
        <v>69</v>
      </c>
      <c r="E12" s="445">
        <v>116</v>
      </c>
      <c r="F12" s="749"/>
      <c r="G12" s="749"/>
      <c r="H12" s="749"/>
    </row>
    <row r="13" spans="1:9" s="121" customFormat="1" ht="31.5" x14ac:dyDescent="0.25">
      <c r="A13" s="270"/>
      <c r="B13" s="115">
        <v>72263</v>
      </c>
      <c r="C13" s="116" t="s">
        <v>736</v>
      </c>
      <c r="D13" s="120" t="s">
        <v>69</v>
      </c>
      <c r="E13" s="445">
        <v>59</v>
      </c>
      <c r="F13" s="749"/>
      <c r="G13" s="749"/>
      <c r="H13" s="749"/>
    </row>
    <row r="14" spans="1:9" s="121" customFormat="1" ht="47.25" x14ac:dyDescent="0.25">
      <c r="A14" s="270"/>
      <c r="B14" s="115">
        <v>91872</v>
      </c>
      <c r="C14" s="116" t="s">
        <v>740</v>
      </c>
      <c r="D14" s="115" t="s">
        <v>75</v>
      </c>
      <c r="E14" s="445">
        <v>162</v>
      </c>
      <c r="F14" s="749"/>
      <c r="G14" s="749"/>
      <c r="H14" s="749"/>
    </row>
    <row r="15" spans="1:9" s="121" customFormat="1" x14ac:dyDescent="0.25">
      <c r="A15" s="270"/>
      <c r="B15" s="115" t="s">
        <v>882</v>
      </c>
      <c r="C15" s="116" t="s">
        <v>883</v>
      </c>
      <c r="D15" s="120" t="s">
        <v>69</v>
      </c>
      <c r="E15" s="445">
        <v>215.99999460000001</v>
      </c>
      <c r="F15" s="749"/>
      <c r="G15" s="749"/>
      <c r="H15" s="749"/>
    </row>
    <row r="16" spans="1:9" s="121" customFormat="1" x14ac:dyDescent="0.25">
      <c r="A16" s="270"/>
      <c r="B16" s="115" t="s">
        <v>929</v>
      </c>
      <c r="C16" s="116" t="s">
        <v>928</v>
      </c>
      <c r="D16" s="115" t="s">
        <v>69</v>
      </c>
      <c r="E16" s="445">
        <v>215.99999460000001</v>
      </c>
      <c r="F16" s="274"/>
      <c r="G16" s="274"/>
      <c r="H16" s="274"/>
    </row>
    <row r="17" spans="1:8" s="121" customFormat="1" x14ac:dyDescent="0.25">
      <c r="A17" s="270"/>
      <c r="B17" s="115">
        <v>72253</v>
      </c>
      <c r="C17" s="116" t="s">
        <v>738</v>
      </c>
      <c r="D17" s="115" t="s">
        <v>75</v>
      </c>
      <c r="E17" s="445">
        <v>735</v>
      </c>
      <c r="F17" s="749"/>
      <c r="G17" s="749"/>
      <c r="H17" s="749"/>
    </row>
    <row r="18" spans="1:8" s="121" customFormat="1" x14ac:dyDescent="0.25">
      <c r="A18" s="270"/>
      <c r="B18" s="115">
        <v>72254</v>
      </c>
      <c r="C18" s="116" t="s">
        <v>739</v>
      </c>
      <c r="D18" s="115" t="s">
        <v>75</v>
      </c>
      <c r="E18" s="445">
        <v>764</v>
      </c>
      <c r="F18" s="749"/>
      <c r="G18" s="749"/>
      <c r="H18" s="749"/>
    </row>
    <row r="19" spans="1:8" s="121" customFormat="1" ht="63" x14ac:dyDescent="0.25">
      <c r="A19" s="270"/>
      <c r="B19" s="115" t="s">
        <v>930</v>
      </c>
      <c r="C19" s="116" t="s">
        <v>931</v>
      </c>
      <c r="D19" s="120" t="s">
        <v>69</v>
      </c>
      <c r="E19" s="445">
        <v>13</v>
      </c>
      <c r="F19" s="749"/>
      <c r="G19" s="749"/>
      <c r="H19" s="749"/>
    </row>
    <row r="20" spans="1:8" s="121" customFormat="1" ht="47.25" x14ac:dyDescent="0.25">
      <c r="A20" s="270"/>
      <c r="B20" s="115">
        <v>83485</v>
      </c>
      <c r="C20" s="116" t="s">
        <v>1682</v>
      </c>
      <c r="D20" s="120" t="s">
        <v>69</v>
      </c>
      <c r="E20" s="445">
        <v>115</v>
      </c>
      <c r="F20" s="749"/>
      <c r="G20" s="749"/>
      <c r="H20" s="749"/>
    </row>
    <row r="21" spans="1:8" s="121" customFormat="1" x14ac:dyDescent="0.25">
      <c r="A21" s="270"/>
      <c r="B21" s="115" t="s">
        <v>936</v>
      </c>
      <c r="C21" s="116" t="s">
        <v>1683</v>
      </c>
      <c r="D21" s="120" t="s">
        <v>69</v>
      </c>
      <c r="E21" s="445">
        <v>174</v>
      </c>
      <c r="F21" s="749"/>
      <c r="G21" s="749"/>
      <c r="H21" s="749"/>
    </row>
    <row r="22" spans="1:8" s="121" customFormat="1" x14ac:dyDescent="0.25">
      <c r="A22" s="270"/>
      <c r="B22" s="115">
        <v>93358</v>
      </c>
      <c r="C22" s="116" t="s">
        <v>503</v>
      </c>
      <c r="D22" s="115" t="s">
        <v>126</v>
      </c>
      <c r="E22" s="445">
        <v>132</v>
      </c>
      <c r="F22" s="749"/>
      <c r="G22" s="749"/>
      <c r="H22" s="749"/>
    </row>
    <row r="23" spans="1:8" s="121" customFormat="1" x14ac:dyDescent="0.25">
      <c r="A23" s="270"/>
      <c r="B23" s="115" t="s">
        <v>259</v>
      </c>
      <c r="C23" s="116" t="s">
        <v>741</v>
      </c>
      <c r="D23" s="115" t="s">
        <v>126</v>
      </c>
      <c r="E23" s="445">
        <v>132</v>
      </c>
      <c r="F23" s="749"/>
      <c r="G23" s="749"/>
      <c r="H23" s="749"/>
    </row>
    <row r="24" spans="1:8" s="121" customFormat="1" ht="31.5" x14ac:dyDescent="0.25">
      <c r="A24" s="270"/>
      <c r="B24" s="115" t="s">
        <v>938</v>
      </c>
      <c r="C24" s="116" t="s">
        <v>939</v>
      </c>
      <c r="D24" s="115" t="s">
        <v>69</v>
      </c>
      <c r="E24" s="445">
        <v>1</v>
      </c>
      <c r="F24" s="749"/>
      <c r="G24" s="749"/>
      <c r="H24" s="749"/>
    </row>
    <row r="25" spans="1:8" s="121" customFormat="1" ht="31.5" x14ac:dyDescent="0.25">
      <c r="A25" s="270"/>
      <c r="B25" s="115">
        <v>83638</v>
      </c>
      <c r="C25" s="116" t="s">
        <v>1684</v>
      </c>
      <c r="D25" s="115" t="s">
        <v>69</v>
      </c>
      <c r="E25" s="445">
        <v>2</v>
      </c>
      <c r="F25" s="749"/>
      <c r="G25" s="749"/>
      <c r="H25" s="749"/>
    </row>
    <row r="26" spans="1:8" s="121" customFormat="1" x14ac:dyDescent="0.25">
      <c r="A26" s="270"/>
      <c r="B26" s="115">
        <v>68070</v>
      </c>
      <c r="C26" s="116" t="s">
        <v>1685</v>
      </c>
      <c r="D26" s="115" t="s">
        <v>75</v>
      </c>
      <c r="E26" s="445">
        <v>20</v>
      </c>
      <c r="F26" s="749"/>
      <c r="G26" s="749"/>
      <c r="H26" s="749"/>
    </row>
    <row r="27" spans="1:8" s="121" customFormat="1" ht="47.25" x14ac:dyDescent="0.25">
      <c r="A27" s="270"/>
      <c r="B27" s="115" t="s">
        <v>1686</v>
      </c>
      <c r="C27" s="116" t="str">
        <f>UPPER("Pára-raio tipo Franklin 350mm, latão cromado, para descida 1 cabo, c/suporte e conectores p/cabo terra e base")</f>
        <v>PÁRA-RAIO TIPO FRANKLIN 350MM, LATÃO CROMADO, PARA DESCIDA 1 CABO, C/SUPORTE E CONECTORES P/CABO TERRA E BASE</v>
      </c>
      <c r="D27" s="115" t="s">
        <v>69</v>
      </c>
      <c r="E27" s="445">
        <v>2</v>
      </c>
      <c r="F27" s="749"/>
      <c r="G27" s="749"/>
      <c r="H27" s="749"/>
    </row>
    <row r="28" spans="1:8" s="275" customFormat="1" ht="31.5" x14ac:dyDescent="0.25">
      <c r="A28" s="270"/>
      <c r="B28" s="115" t="s">
        <v>1687</v>
      </c>
      <c r="C28" s="116" t="str">
        <f>UPPER("Sinalizador noturno c/ 1 lâmpada 15w, inclusive lampada e relé fotoeletrico individual")</f>
        <v>SINALIZADOR NOTURNO C/ 1 LÂMPADA 15W, INCLUSIVE LAMPADA E RELÉ FOTOELETRICO INDIVIDUAL</v>
      </c>
      <c r="D28" s="115" t="s">
        <v>69</v>
      </c>
      <c r="E28" s="445">
        <v>2</v>
      </c>
      <c r="F28" s="749"/>
      <c r="G28" s="749"/>
      <c r="H28" s="749"/>
    </row>
    <row r="29" spans="1:8" s="275" customFormat="1" ht="47.25" x14ac:dyDescent="0.25">
      <c r="A29" s="270"/>
      <c r="B29" s="115">
        <v>91927</v>
      </c>
      <c r="C29" s="116" t="s">
        <v>1632</v>
      </c>
      <c r="D29" s="115" t="s">
        <v>75</v>
      </c>
      <c r="E29" s="445">
        <v>240</v>
      </c>
      <c r="F29" s="749"/>
      <c r="G29" s="749"/>
      <c r="H29" s="749"/>
    </row>
    <row r="30" spans="1:8" s="275" customFormat="1" ht="31.5" x14ac:dyDescent="0.25">
      <c r="A30" s="270"/>
      <c r="B30" s="115">
        <v>93653</v>
      </c>
      <c r="C30" s="116" t="s">
        <v>1688</v>
      </c>
      <c r="D30" s="115" t="s">
        <v>69</v>
      </c>
      <c r="E30" s="445">
        <v>2</v>
      </c>
      <c r="F30" s="749"/>
      <c r="G30" s="749"/>
      <c r="H30" s="749"/>
    </row>
    <row r="31" spans="1:8" s="275" customFormat="1" ht="47.25" x14ac:dyDescent="0.25">
      <c r="A31" s="270"/>
      <c r="B31" s="115">
        <v>91871</v>
      </c>
      <c r="C31" s="116" t="s">
        <v>1689</v>
      </c>
      <c r="D31" s="115" t="s">
        <v>75</v>
      </c>
      <c r="E31" s="445">
        <v>160</v>
      </c>
      <c r="F31" s="749"/>
      <c r="G31" s="749"/>
      <c r="H31" s="749"/>
    </row>
    <row r="32" spans="1:8" s="275" customFormat="1" ht="47.25" x14ac:dyDescent="0.25">
      <c r="A32" s="270"/>
      <c r="B32" s="115">
        <v>91884</v>
      </c>
      <c r="C32" s="116" t="s">
        <v>1690</v>
      </c>
      <c r="D32" s="115" t="s">
        <v>69</v>
      </c>
      <c r="E32" s="445">
        <v>16</v>
      </c>
      <c r="F32" s="749"/>
      <c r="G32" s="749"/>
      <c r="H32" s="749"/>
    </row>
    <row r="33" spans="1:8" s="275" customFormat="1" ht="47.25" x14ac:dyDescent="0.25">
      <c r="A33" s="270"/>
      <c r="B33" s="115">
        <v>95779</v>
      </c>
      <c r="C33" s="116" t="s">
        <v>1691</v>
      </c>
      <c r="D33" s="115" t="s">
        <v>69</v>
      </c>
      <c r="E33" s="445">
        <v>2</v>
      </c>
      <c r="F33" s="749"/>
      <c r="G33" s="749"/>
      <c r="H33" s="749"/>
    </row>
    <row r="34" spans="1:8" s="275" customFormat="1" ht="47.25" x14ac:dyDescent="0.25">
      <c r="A34" s="270"/>
      <c r="B34" s="115">
        <v>91914</v>
      </c>
      <c r="C34" s="116" t="s">
        <v>1692</v>
      </c>
      <c r="D34" s="115" t="s">
        <v>69</v>
      </c>
      <c r="E34" s="445">
        <v>10</v>
      </c>
      <c r="F34" s="749"/>
      <c r="G34" s="749"/>
      <c r="H34" s="749"/>
    </row>
    <row r="35" spans="1:8" x14ac:dyDescent="0.25">
      <c r="A35" s="697"/>
      <c r="B35" s="697"/>
      <c r="C35" s="697"/>
      <c r="D35" s="697"/>
      <c r="E35" s="697"/>
      <c r="F35" s="697"/>
      <c r="G35" s="697"/>
      <c r="H35" s="697"/>
    </row>
    <row r="38" spans="1:8" x14ac:dyDescent="0.25">
      <c r="A38" s="57"/>
      <c r="B38" s="57"/>
      <c r="C38" s="72"/>
      <c r="D38" s="57"/>
      <c r="E38" s="57"/>
      <c r="F38" s="57"/>
      <c r="G38" s="57"/>
      <c r="H38" s="57"/>
    </row>
  </sheetData>
  <mergeCells count="32">
    <mergeCell ref="A2:H2"/>
    <mergeCell ref="F3:H3"/>
    <mergeCell ref="A4:H4"/>
    <mergeCell ref="F15:H15"/>
    <mergeCell ref="F12:H12"/>
    <mergeCell ref="F13:H13"/>
    <mergeCell ref="F14:H14"/>
    <mergeCell ref="F6:H6"/>
    <mergeCell ref="F11:H11"/>
    <mergeCell ref="F10:H10"/>
    <mergeCell ref="F9:H9"/>
    <mergeCell ref="F8:H8"/>
    <mergeCell ref="F7:H7"/>
    <mergeCell ref="F28:H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A35:H35"/>
    <mergeCell ref="F29:H29"/>
    <mergeCell ref="F30:H30"/>
    <mergeCell ref="F31:H31"/>
    <mergeCell ref="F32:H32"/>
    <mergeCell ref="F33:H33"/>
    <mergeCell ref="F34:H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80"/>
  <sheetViews>
    <sheetView topLeftCell="A13" zoomScale="85" zoomScaleNormal="85" workbookViewId="0">
      <selection activeCell="H9" sqref="H9"/>
    </sheetView>
  </sheetViews>
  <sheetFormatPr defaultRowHeight="15" x14ac:dyDescent="0.25"/>
  <cols>
    <col min="2" max="2" width="14.140625" customWidth="1"/>
    <col min="3" max="3" width="50.7109375" style="237" customWidth="1"/>
    <col min="4" max="4" width="5.85546875" customWidth="1"/>
    <col min="5" max="5" width="9" style="247" customWidth="1"/>
  </cols>
  <sheetData>
    <row r="1" spans="1:6" ht="19.5" thickBot="1" x14ac:dyDescent="0.35">
      <c r="A1" s="540" t="s">
        <v>1627</v>
      </c>
      <c r="B1" s="541"/>
      <c r="C1" s="542"/>
      <c r="D1" s="541"/>
      <c r="E1" s="543"/>
    </row>
    <row r="2" spans="1:6" ht="15.75" x14ac:dyDescent="0.25">
      <c r="A2" s="539" t="s">
        <v>334</v>
      </c>
      <c r="B2" s="544"/>
      <c r="C2" s="545" t="s">
        <v>1628</v>
      </c>
      <c r="D2" s="539"/>
      <c r="E2" s="539"/>
    </row>
    <row r="3" spans="1:6" ht="31.5" x14ac:dyDescent="0.25">
      <c r="A3" s="115" t="s">
        <v>1032</v>
      </c>
      <c r="B3" s="115" t="s">
        <v>2954</v>
      </c>
      <c r="C3" s="116" t="s">
        <v>1629</v>
      </c>
      <c r="D3" s="115" t="s">
        <v>56</v>
      </c>
      <c r="E3" s="207">
        <v>9</v>
      </c>
      <c r="F3" s="458"/>
    </row>
    <row r="4" spans="1:6" ht="47.25" x14ac:dyDescent="0.25">
      <c r="A4" s="115" t="s">
        <v>1033</v>
      </c>
      <c r="B4" s="115" t="s">
        <v>314</v>
      </c>
      <c r="C4" s="116" t="s">
        <v>2955</v>
      </c>
      <c r="D4" s="115" t="s">
        <v>56</v>
      </c>
      <c r="E4" s="207">
        <v>4</v>
      </c>
      <c r="F4" s="458"/>
    </row>
    <row r="5" spans="1:6" ht="31.5" x14ac:dyDescent="0.25">
      <c r="A5" s="115" t="s">
        <v>1034</v>
      </c>
      <c r="B5" s="115" t="s">
        <v>884</v>
      </c>
      <c r="C5" s="116" t="s">
        <v>885</v>
      </c>
      <c r="D5" s="115" t="s">
        <v>56</v>
      </c>
      <c r="E5" s="207">
        <v>16</v>
      </c>
      <c r="F5" s="458"/>
    </row>
    <row r="6" spans="1:6" ht="32.25" thickBot="1" x14ac:dyDescent="0.3">
      <c r="A6" s="115" t="s">
        <v>2223</v>
      </c>
      <c r="B6" s="115" t="s">
        <v>2778</v>
      </c>
      <c r="C6" s="116" t="s">
        <v>743</v>
      </c>
      <c r="D6" s="115" t="s">
        <v>106</v>
      </c>
      <c r="E6" s="207">
        <v>20</v>
      </c>
      <c r="F6" s="458"/>
    </row>
    <row r="7" spans="1:6" ht="15.75" x14ac:dyDescent="0.25">
      <c r="A7" s="539" t="s">
        <v>335</v>
      </c>
      <c r="B7" s="544"/>
      <c r="C7" s="545" t="s">
        <v>1630</v>
      </c>
      <c r="D7" s="539"/>
      <c r="E7" s="539"/>
      <c r="F7" s="458"/>
    </row>
    <row r="8" spans="1:6" ht="63" x14ac:dyDescent="0.25">
      <c r="A8" s="115" t="s">
        <v>1017</v>
      </c>
      <c r="B8" s="115" t="s">
        <v>886</v>
      </c>
      <c r="C8" s="116" t="s">
        <v>887</v>
      </c>
      <c r="D8" s="115" t="s">
        <v>56</v>
      </c>
      <c r="E8" s="207">
        <v>59</v>
      </c>
      <c r="F8" s="458"/>
    </row>
    <row r="9" spans="1:6" ht="79.5" thickBot="1" x14ac:dyDescent="0.3">
      <c r="A9" s="115" t="s">
        <v>1035</v>
      </c>
      <c r="B9" s="115" t="s">
        <v>888</v>
      </c>
      <c r="C9" s="116" t="s">
        <v>889</v>
      </c>
      <c r="D9" s="115" t="s">
        <v>56</v>
      </c>
      <c r="E9" s="207">
        <v>5</v>
      </c>
      <c r="F9" s="458"/>
    </row>
    <row r="10" spans="1:6" ht="15.75" x14ac:dyDescent="0.25">
      <c r="A10" s="539" t="s">
        <v>2327</v>
      </c>
      <c r="B10" s="544"/>
      <c r="C10" s="545" t="s">
        <v>1631</v>
      </c>
      <c r="D10" s="539"/>
      <c r="E10" s="539"/>
      <c r="F10" s="458"/>
    </row>
    <row r="11" spans="1:6" ht="47.25" x14ac:dyDescent="0.25">
      <c r="A11" s="115" t="s">
        <v>2328</v>
      </c>
      <c r="B11" s="115" t="s">
        <v>890</v>
      </c>
      <c r="C11" s="116" t="s">
        <v>891</v>
      </c>
      <c r="D11" s="115" t="s">
        <v>56</v>
      </c>
      <c r="E11" s="207">
        <v>6</v>
      </c>
      <c r="F11" s="458"/>
    </row>
    <row r="12" spans="1:6" ht="31.5" x14ac:dyDescent="0.25">
      <c r="A12" s="115" t="s">
        <v>2329</v>
      </c>
      <c r="B12" s="115" t="s">
        <v>892</v>
      </c>
      <c r="C12" s="116" t="s">
        <v>893</v>
      </c>
      <c r="D12" s="115" t="s">
        <v>56</v>
      </c>
      <c r="E12" s="207">
        <v>6</v>
      </c>
      <c r="F12" s="458"/>
    </row>
    <row r="13" spans="1:6" ht="31.5" x14ac:dyDescent="0.25">
      <c r="A13" s="115" t="s">
        <v>2330</v>
      </c>
      <c r="B13" s="115" t="s">
        <v>894</v>
      </c>
      <c r="C13" s="116" t="s">
        <v>895</v>
      </c>
      <c r="D13" s="115" t="s">
        <v>56</v>
      </c>
      <c r="E13" s="207">
        <v>1</v>
      </c>
      <c r="F13" s="458"/>
    </row>
    <row r="14" spans="1:6" ht="31.5" x14ac:dyDescent="0.25">
      <c r="A14" s="115" t="s">
        <v>2331</v>
      </c>
      <c r="B14" s="115" t="s">
        <v>896</v>
      </c>
      <c r="C14" s="116" t="s">
        <v>897</v>
      </c>
      <c r="D14" s="115" t="s">
        <v>56</v>
      </c>
      <c r="E14" s="207">
        <v>2</v>
      </c>
      <c r="F14" s="458"/>
    </row>
    <row r="15" spans="1:6" ht="47.25" x14ac:dyDescent="0.25">
      <c r="A15" s="115" t="s">
        <v>2332</v>
      </c>
      <c r="B15" s="115" t="s">
        <v>2950</v>
      </c>
      <c r="C15" s="116" t="s">
        <v>1632</v>
      </c>
      <c r="D15" s="115" t="s">
        <v>99</v>
      </c>
      <c r="E15" s="207">
        <v>2065</v>
      </c>
      <c r="F15" s="458"/>
    </row>
    <row r="16" spans="1:6" ht="47.25" x14ac:dyDescent="0.25">
      <c r="A16" s="115" t="s">
        <v>2625</v>
      </c>
      <c r="B16" s="115" t="s">
        <v>2956</v>
      </c>
      <c r="C16" s="116" t="s">
        <v>742</v>
      </c>
      <c r="D16" s="115" t="s">
        <v>56</v>
      </c>
      <c r="E16" s="207">
        <v>25</v>
      </c>
      <c r="F16" s="458"/>
    </row>
    <row r="17" spans="1:6" ht="78.75" x14ac:dyDescent="0.25">
      <c r="A17" s="115" t="s">
        <v>3327</v>
      </c>
      <c r="B17" s="115" t="s">
        <v>900</v>
      </c>
      <c r="C17" s="116" t="s">
        <v>901</v>
      </c>
      <c r="D17" s="115" t="s">
        <v>56</v>
      </c>
      <c r="E17" s="207">
        <v>8</v>
      </c>
      <c r="F17" s="458"/>
    </row>
    <row r="18" spans="1:6" ht="31.5" x14ac:dyDescent="0.25">
      <c r="A18" s="115" t="s">
        <v>3209</v>
      </c>
      <c r="B18" s="115" t="s">
        <v>3288</v>
      </c>
      <c r="C18" s="116" t="s">
        <v>3208</v>
      </c>
      <c r="D18" s="115" t="s">
        <v>99</v>
      </c>
      <c r="E18" s="207">
        <f>25*3</f>
        <v>75</v>
      </c>
      <c r="F18" s="458"/>
    </row>
    <row r="19" spans="1:6" ht="31.5" x14ac:dyDescent="0.25">
      <c r="A19" s="115" t="s">
        <v>3211</v>
      </c>
      <c r="B19" s="115" t="s">
        <v>3205</v>
      </c>
      <c r="C19" s="116" t="s">
        <v>3289</v>
      </c>
      <c r="D19" s="115" t="s">
        <v>99</v>
      </c>
      <c r="E19" s="207">
        <f>12*3</f>
        <v>36</v>
      </c>
      <c r="F19" s="458"/>
    </row>
    <row r="20" spans="1:6" ht="15.75" x14ac:dyDescent="0.25">
      <c r="A20" s="115" t="s">
        <v>3213</v>
      </c>
      <c r="B20" s="115" t="s">
        <v>3290</v>
      </c>
      <c r="C20" s="116" t="s">
        <v>3210</v>
      </c>
      <c r="D20" s="115" t="s">
        <v>56</v>
      </c>
      <c r="E20" s="207">
        <v>12</v>
      </c>
      <c r="F20" s="458"/>
    </row>
    <row r="21" spans="1:6" ht="15.75" x14ac:dyDescent="0.25">
      <c r="A21" s="115" t="s">
        <v>3215</v>
      </c>
      <c r="B21" s="115" t="s">
        <v>3291</v>
      </c>
      <c r="C21" s="116" t="s">
        <v>3212</v>
      </c>
      <c r="D21" s="115" t="s">
        <v>56</v>
      </c>
      <c r="E21" s="207">
        <v>25</v>
      </c>
      <c r="F21" s="458"/>
    </row>
    <row r="22" spans="1:6" ht="31.5" x14ac:dyDescent="0.25">
      <c r="A22" s="115" t="s">
        <v>3216</v>
      </c>
      <c r="B22" s="115" t="s">
        <v>3292</v>
      </c>
      <c r="C22" s="116" t="s">
        <v>3214</v>
      </c>
      <c r="D22" s="115" t="s">
        <v>56</v>
      </c>
      <c r="E22" s="207">
        <v>8</v>
      </c>
      <c r="F22" s="458"/>
    </row>
    <row r="23" spans="1:6" ht="47.25" x14ac:dyDescent="0.25">
      <c r="A23" s="115" t="s">
        <v>3217</v>
      </c>
      <c r="B23" s="115" t="s">
        <v>898</v>
      </c>
      <c r="C23" s="116" t="s">
        <v>899</v>
      </c>
      <c r="D23" s="115" t="s">
        <v>56</v>
      </c>
      <c r="E23" s="207">
        <v>36</v>
      </c>
      <c r="F23" s="458"/>
    </row>
    <row r="24" spans="1:6" ht="31.5" x14ac:dyDescent="0.25">
      <c r="A24" s="115" t="s">
        <v>3218</v>
      </c>
      <c r="B24" s="115" t="s">
        <v>882</v>
      </c>
      <c r="C24" s="116" t="s">
        <v>883</v>
      </c>
      <c r="D24" s="115" t="s">
        <v>56</v>
      </c>
      <c r="E24" s="207">
        <v>75</v>
      </c>
      <c r="F24" s="458"/>
    </row>
    <row r="25" spans="1:6" ht="31.5" x14ac:dyDescent="0.25">
      <c r="A25" s="115" t="s">
        <v>3219</v>
      </c>
      <c r="B25" s="115" t="s">
        <v>915</v>
      </c>
      <c r="C25" s="116" t="s">
        <v>1633</v>
      </c>
      <c r="D25" s="115" t="s">
        <v>56</v>
      </c>
      <c r="E25" s="207">
        <v>2</v>
      </c>
      <c r="F25" s="458"/>
    </row>
    <row r="26" spans="1:6" ht="31.5" x14ac:dyDescent="0.25">
      <c r="A26" s="115" t="s">
        <v>3220</v>
      </c>
      <c r="B26" s="115" t="s">
        <v>916</v>
      </c>
      <c r="C26" s="116" t="s">
        <v>917</v>
      </c>
      <c r="D26" s="115" t="s">
        <v>56</v>
      </c>
      <c r="E26" s="207">
        <v>38</v>
      </c>
      <c r="F26" s="458"/>
    </row>
    <row r="27" spans="1:6" ht="47.25" x14ac:dyDescent="0.25">
      <c r="A27" s="115" t="s">
        <v>3328</v>
      </c>
      <c r="B27" s="115">
        <v>95818</v>
      </c>
      <c r="C27" s="116" t="s">
        <v>3297</v>
      </c>
      <c r="D27" s="115" t="s">
        <v>56</v>
      </c>
      <c r="E27" s="207">
        <v>30</v>
      </c>
      <c r="F27" s="458"/>
    </row>
    <row r="28" spans="1:6" ht="31.5" x14ac:dyDescent="0.25">
      <c r="A28" s="115" t="s">
        <v>3221</v>
      </c>
      <c r="B28" s="115" t="s">
        <v>3222</v>
      </c>
      <c r="C28" s="116" t="s">
        <v>3293</v>
      </c>
      <c r="D28" s="115" t="s">
        <v>56</v>
      </c>
      <c r="E28" s="207">
        <v>25</v>
      </c>
      <c r="F28" s="458"/>
    </row>
    <row r="29" spans="1:6" ht="31.5" x14ac:dyDescent="0.25">
      <c r="A29" s="115" t="s">
        <v>3329</v>
      </c>
      <c r="B29" s="115" t="s">
        <v>3294</v>
      </c>
      <c r="C29" s="116" t="s">
        <v>3295</v>
      </c>
      <c r="D29" s="115" t="s">
        <v>56</v>
      </c>
      <c r="E29" s="207">
        <v>25</v>
      </c>
      <c r="F29" s="458"/>
    </row>
    <row r="30" spans="1:6" ht="63.75" thickBot="1" x14ac:dyDescent="0.3">
      <c r="A30" s="115" t="s">
        <v>3330</v>
      </c>
      <c r="B30" s="115" t="s">
        <v>958</v>
      </c>
      <c r="C30" s="116" t="s">
        <v>3296</v>
      </c>
      <c r="D30" s="115" t="s">
        <v>10</v>
      </c>
      <c r="E30" s="207">
        <v>18</v>
      </c>
      <c r="F30" s="458"/>
    </row>
    <row r="31" spans="1:6" ht="15.75" x14ac:dyDescent="0.25">
      <c r="A31" s="539" t="s">
        <v>336</v>
      </c>
      <c r="B31" s="544"/>
      <c r="C31" s="545" t="s">
        <v>1634</v>
      </c>
      <c r="D31" s="539"/>
      <c r="E31" s="539"/>
      <c r="F31" s="458"/>
    </row>
    <row r="32" spans="1:6" ht="15.75" x14ac:dyDescent="0.25">
      <c r="A32" s="522"/>
      <c r="B32" s="522"/>
      <c r="C32" s="178" t="s">
        <v>3223</v>
      </c>
      <c r="D32" s="522"/>
      <c r="E32" s="546"/>
      <c r="F32" s="458"/>
    </row>
    <row r="33" spans="1:6" ht="31.5" x14ac:dyDescent="0.25">
      <c r="A33" s="115" t="s">
        <v>1038</v>
      </c>
      <c r="B33" s="115">
        <v>72288</v>
      </c>
      <c r="C33" s="116" t="s">
        <v>3224</v>
      </c>
      <c r="D33" s="115" t="s">
        <v>56</v>
      </c>
      <c r="E33" s="445">
        <v>5</v>
      </c>
      <c r="F33" s="458"/>
    </row>
    <row r="34" spans="1:6" ht="63" x14ac:dyDescent="0.25">
      <c r="A34" s="115" t="s">
        <v>3225</v>
      </c>
      <c r="B34" s="115">
        <v>92346</v>
      </c>
      <c r="C34" s="116" t="s">
        <v>3226</v>
      </c>
      <c r="D34" s="115" t="s">
        <v>56</v>
      </c>
      <c r="E34" s="445">
        <v>9</v>
      </c>
      <c r="F34" s="458"/>
    </row>
    <row r="35" spans="1:6" ht="63" x14ac:dyDescent="0.25">
      <c r="A35" s="115" t="s">
        <v>3227</v>
      </c>
      <c r="B35" s="115" t="s">
        <v>3228</v>
      </c>
      <c r="C35" s="116" t="s">
        <v>3229</v>
      </c>
      <c r="D35" s="115" t="s">
        <v>56</v>
      </c>
      <c r="E35" s="445">
        <v>5</v>
      </c>
      <c r="F35" s="458"/>
    </row>
    <row r="36" spans="1:6" ht="63" x14ac:dyDescent="0.25">
      <c r="A36" s="115" t="s">
        <v>3230</v>
      </c>
      <c r="B36" s="115">
        <v>71516</v>
      </c>
      <c r="C36" s="116" t="s">
        <v>3311</v>
      </c>
      <c r="D36" s="115" t="s">
        <v>56</v>
      </c>
      <c r="E36" s="445">
        <v>4</v>
      </c>
      <c r="F36" s="458"/>
    </row>
    <row r="37" spans="1:6" ht="47.25" x14ac:dyDescent="0.25">
      <c r="A37" s="115" t="s">
        <v>3231</v>
      </c>
      <c r="B37" s="115" t="s">
        <v>3232</v>
      </c>
      <c r="C37" s="116" t="s">
        <v>3314</v>
      </c>
      <c r="D37" s="115" t="s">
        <v>56</v>
      </c>
      <c r="E37" s="445">
        <v>5</v>
      </c>
      <c r="F37" s="458"/>
    </row>
    <row r="38" spans="1:6" ht="47.25" x14ac:dyDescent="0.25">
      <c r="A38" s="115" t="s">
        <v>3233</v>
      </c>
      <c r="B38" s="115" t="s">
        <v>3310</v>
      </c>
      <c r="C38" s="116" t="s">
        <v>3309</v>
      </c>
      <c r="D38" s="115" t="s">
        <v>56</v>
      </c>
      <c r="E38" s="445">
        <v>4</v>
      </c>
      <c r="F38" s="458"/>
    </row>
    <row r="39" spans="1:6" ht="47.25" x14ac:dyDescent="0.25">
      <c r="A39" s="115" t="s">
        <v>3234</v>
      </c>
      <c r="B39" s="115" t="s">
        <v>3312</v>
      </c>
      <c r="C39" s="116" t="s">
        <v>3313</v>
      </c>
      <c r="D39" s="115" t="s">
        <v>56</v>
      </c>
      <c r="E39" s="445">
        <v>4</v>
      </c>
      <c r="F39" s="458"/>
    </row>
    <row r="40" spans="1:6" ht="15.75" x14ac:dyDescent="0.25">
      <c r="A40" s="115"/>
      <c r="B40" s="115"/>
      <c r="C40" s="178" t="s">
        <v>3235</v>
      </c>
      <c r="D40" s="115"/>
      <c r="E40" s="445"/>
      <c r="F40" s="458"/>
    </row>
    <row r="41" spans="1:6" ht="31.5" x14ac:dyDescent="0.25">
      <c r="A41" s="115" t="s">
        <v>3236</v>
      </c>
      <c r="B41" s="115">
        <v>72287</v>
      </c>
      <c r="C41" s="116" t="s">
        <v>3237</v>
      </c>
      <c r="D41" s="115" t="s">
        <v>56</v>
      </c>
      <c r="E41" s="445">
        <v>1</v>
      </c>
      <c r="F41" s="458"/>
    </row>
    <row r="42" spans="1:6" ht="15.75" x14ac:dyDescent="0.25">
      <c r="A42" s="115" t="s">
        <v>3238</v>
      </c>
      <c r="B42" s="115" t="s">
        <v>3239</v>
      </c>
      <c r="C42" s="116" t="s">
        <v>3240</v>
      </c>
      <c r="D42" s="115" t="s">
        <v>56</v>
      </c>
      <c r="E42" s="445">
        <v>4</v>
      </c>
      <c r="F42" s="458"/>
    </row>
    <row r="43" spans="1:6" ht="63" x14ac:dyDescent="0.25">
      <c r="A43" s="115" t="s">
        <v>3241</v>
      </c>
      <c r="B43" s="115">
        <v>92346</v>
      </c>
      <c r="C43" s="116" t="s">
        <v>3226</v>
      </c>
      <c r="D43" s="115" t="s">
        <v>56</v>
      </c>
      <c r="E43" s="445">
        <v>11</v>
      </c>
      <c r="F43" s="458"/>
    </row>
    <row r="44" spans="1:6" ht="47.25" x14ac:dyDescent="0.25">
      <c r="A44" s="115" t="s">
        <v>3242</v>
      </c>
      <c r="B44" s="115" t="s">
        <v>3308</v>
      </c>
      <c r="C44" s="116" t="s">
        <v>3307</v>
      </c>
      <c r="D44" s="115" t="s">
        <v>56</v>
      </c>
      <c r="E44" s="445">
        <v>5</v>
      </c>
    </row>
    <row r="45" spans="1:6" ht="31.5" x14ac:dyDescent="0.25">
      <c r="A45" s="115"/>
      <c r="B45" s="115"/>
      <c r="C45" s="178" t="s">
        <v>3243</v>
      </c>
      <c r="D45" s="115"/>
      <c r="E45" s="445"/>
    </row>
    <row r="46" spans="1:6" ht="31.5" x14ac:dyDescent="0.25">
      <c r="A46" s="115" t="s">
        <v>3244</v>
      </c>
      <c r="B46" s="115" t="s">
        <v>3245</v>
      </c>
      <c r="C46" s="116" t="s">
        <v>3337</v>
      </c>
      <c r="D46" s="115" t="s">
        <v>56</v>
      </c>
      <c r="E46" s="445">
        <v>4</v>
      </c>
    </row>
    <row r="47" spans="1:6" ht="31.5" x14ac:dyDescent="0.25">
      <c r="A47" s="115" t="s">
        <v>3246</v>
      </c>
      <c r="B47" s="115" t="s">
        <v>315</v>
      </c>
      <c r="C47" s="116" t="s">
        <v>744</v>
      </c>
      <c r="D47" s="115" t="s">
        <v>56</v>
      </c>
      <c r="E47" s="445">
        <v>1</v>
      </c>
    </row>
    <row r="48" spans="1:6" ht="31.5" x14ac:dyDescent="0.25">
      <c r="A48" s="115" t="s">
        <v>3247</v>
      </c>
      <c r="B48" s="115" t="s">
        <v>1654</v>
      </c>
      <c r="C48" s="116" t="s">
        <v>3315</v>
      </c>
      <c r="D48" s="115" t="s">
        <v>56</v>
      </c>
      <c r="E48" s="445">
        <v>1</v>
      </c>
    </row>
    <row r="49" spans="1:5" ht="31.5" x14ac:dyDescent="0.25">
      <c r="A49" s="115" t="s">
        <v>3248</v>
      </c>
      <c r="B49" s="115">
        <v>73607</v>
      </c>
      <c r="C49" s="116" t="s">
        <v>3249</v>
      </c>
      <c r="D49" s="115" t="s">
        <v>56</v>
      </c>
      <c r="E49" s="445">
        <v>1</v>
      </c>
    </row>
    <row r="50" spans="1:5" ht="63" x14ac:dyDescent="0.25">
      <c r="A50" s="115" t="s">
        <v>3250</v>
      </c>
      <c r="B50" s="115">
        <v>72132</v>
      </c>
      <c r="C50" s="116" t="s">
        <v>3251</v>
      </c>
      <c r="D50" s="115" t="s">
        <v>10</v>
      </c>
      <c r="E50" s="445">
        <v>3.2</v>
      </c>
    </row>
    <row r="51" spans="1:5" ht="63" x14ac:dyDescent="0.25">
      <c r="A51" s="115" t="s">
        <v>3252</v>
      </c>
      <c r="B51" s="115" t="s">
        <v>3253</v>
      </c>
      <c r="C51" s="116" t="s">
        <v>3254</v>
      </c>
      <c r="D51" s="115" t="s">
        <v>56</v>
      </c>
      <c r="E51" s="445">
        <v>5</v>
      </c>
    </row>
    <row r="52" spans="1:5" ht="31.5" x14ac:dyDescent="0.25">
      <c r="A52" s="115" t="s">
        <v>3255</v>
      </c>
      <c r="B52" s="115" t="s">
        <v>2564</v>
      </c>
      <c r="C52" s="116" t="s">
        <v>3316</v>
      </c>
      <c r="D52" s="115" t="s">
        <v>56</v>
      </c>
      <c r="E52" s="445">
        <v>1</v>
      </c>
    </row>
    <row r="53" spans="1:5" ht="63" x14ac:dyDescent="0.25">
      <c r="A53" s="115" t="s">
        <v>3256</v>
      </c>
      <c r="B53" s="115" t="s">
        <v>3317</v>
      </c>
      <c r="C53" s="116" t="s">
        <v>3257</v>
      </c>
      <c r="D53" s="115" t="s">
        <v>99</v>
      </c>
      <c r="E53" s="445">
        <v>155</v>
      </c>
    </row>
    <row r="54" spans="1:5" ht="78.75" x14ac:dyDescent="0.25">
      <c r="A54" s="115" t="s">
        <v>3258</v>
      </c>
      <c r="B54" s="115">
        <v>94473</v>
      </c>
      <c r="C54" s="116" t="s">
        <v>902</v>
      </c>
      <c r="D54" s="115" t="s">
        <v>56</v>
      </c>
      <c r="E54" s="445">
        <v>26</v>
      </c>
    </row>
    <row r="55" spans="1:5" ht="78.75" x14ac:dyDescent="0.25">
      <c r="A55" s="115" t="s">
        <v>3259</v>
      </c>
      <c r="B55" s="115">
        <v>94474</v>
      </c>
      <c r="C55" s="116" t="s">
        <v>903</v>
      </c>
      <c r="D55" s="115" t="s">
        <v>56</v>
      </c>
      <c r="E55" s="445">
        <v>4</v>
      </c>
    </row>
    <row r="56" spans="1:5" ht="63" x14ac:dyDescent="0.25">
      <c r="A56" s="115" t="s">
        <v>3260</v>
      </c>
      <c r="B56" s="115">
        <v>92378</v>
      </c>
      <c r="C56" s="116" t="s">
        <v>904</v>
      </c>
      <c r="D56" s="115" t="s">
        <v>56</v>
      </c>
      <c r="E56" s="445">
        <v>26</v>
      </c>
    </row>
    <row r="57" spans="1:5" ht="63" x14ac:dyDescent="0.25">
      <c r="A57" s="115" t="s">
        <v>3261</v>
      </c>
      <c r="B57" s="115">
        <v>92642</v>
      </c>
      <c r="C57" s="116" t="s">
        <v>905</v>
      </c>
      <c r="D57" s="115" t="s">
        <v>56</v>
      </c>
      <c r="E57" s="445">
        <v>10</v>
      </c>
    </row>
    <row r="58" spans="1:5" ht="31.5" x14ac:dyDescent="0.25">
      <c r="A58" s="115" t="s">
        <v>3332</v>
      </c>
      <c r="B58" s="115" t="s">
        <v>316</v>
      </c>
      <c r="C58" s="116" t="s">
        <v>745</v>
      </c>
      <c r="D58" s="115" t="s">
        <v>56</v>
      </c>
      <c r="E58" s="445">
        <v>1</v>
      </c>
    </row>
    <row r="59" spans="1:5" ht="31.5" x14ac:dyDescent="0.25">
      <c r="A59" s="115" t="s">
        <v>3262</v>
      </c>
      <c r="B59" s="115" t="s">
        <v>3264</v>
      </c>
      <c r="C59" s="116" t="s">
        <v>3265</v>
      </c>
      <c r="D59" s="115" t="s">
        <v>56</v>
      </c>
      <c r="E59" s="445">
        <v>1</v>
      </c>
    </row>
    <row r="60" spans="1:5" ht="31.5" x14ac:dyDescent="0.25">
      <c r="A60" s="115" t="s">
        <v>3333</v>
      </c>
      <c r="B60" s="115" t="s">
        <v>1635</v>
      </c>
      <c r="C60" s="116" t="s">
        <v>1645</v>
      </c>
      <c r="D60" s="115" t="s">
        <v>99</v>
      </c>
      <c r="E60" s="445">
        <v>255</v>
      </c>
    </row>
    <row r="61" spans="1:5" ht="47.25" x14ac:dyDescent="0.25">
      <c r="A61" s="115" t="s">
        <v>3263</v>
      </c>
      <c r="B61" s="115" t="s">
        <v>2562</v>
      </c>
      <c r="C61" s="116" t="s">
        <v>1649</v>
      </c>
      <c r="D61" s="115" t="s">
        <v>99</v>
      </c>
      <c r="E61" s="445">
        <v>160</v>
      </c>
    </row>
    <row r="62" spans="1:5" ht="63" x14ac:dyDescent="0.25">
      <c r="A62" s="115" t="s">
        <v>3334</v>
      </c>
      <c r="B62" s="115" t="s">
        <v>2559</v>
      </c>
      <c r="C62" s="116" t="s">
        <v>1644</v>
      </c>
      <c r="D62" s="115" t="s">
        <v>99</v>
      </c>
      <c r="E62" s="445">
        <v>140</v>
      </c>
    </row>
    <row r="63" spans="1:5" ht="63" x14ac:dyDescent="0.25">
      <c r="A63" s="115" t="s">
        <v>3335</v>
      </c>
      <c r="B63" s="115" t="s">
        <v>286</v>
      </c>
      <c r="C63" s="116" t="s">
        <v>731</v>
      </c>
      <c r="D63" s="115" t="s">
        <v>99</v>
      </c>
      <c r="E63" s="445">
        <v>20</v>
      </c>
    </row>
    <row r="64" spans="1:5" ht="31.5" x14ac:dyDescent="0.25">
      <c r="A64" s="115" t="s">
        <v>3336</v>
      </c>
      <c r="B64" s="115" t="s">
        <v>3271</v>
      </c>
      <c r="C64" s="116" t="s">
        <v>3272</v>
      </c>
      <c r="D64" s="115" t="s">
        <v>10</v>
      </c>
      <c r="E64" s="445">
        <v>10.199999999999999</v>
      </c>
    </row>
    <row r="65" spans="1:5" ht="94.5" x14ac:dyDescent="0.25">
      <c r="A65" s="115" t="s">
        <v>3266</v>
      </c>
      <c r="B65" s="115" t="s">
        <v>685</v>
      </c>
      <c r="C65" s="116" t="s">
        <v>686</v>
      </c>
      <c r="D65" s="115" t="s">
        <v>56</v>
      </c>
      <c r="E65" s="445">
        <v>26</v>
      </c>
    </row>
    <row r="66" spans="1:5" ht="63" x14ac:dyDescent="0.25">
      <c r="A66" s="115" t="s">
        <v>3267</v>
      </c>
      <c r="B66" s="115" t="s">
        <v>958</v>
      </c>
      <c r="C66" s="116" t="s">
        <v>2881</v>
      </c>
      <c r="D66" s="115" t="s">
        <v>10</v>
      </c>
      <c r="E66" s="547">
        <v>42</v>
      </c>
    </row>
    <row r="67" spans="1:5" ht="31.5" x14ac:dyDescent="0.25">
      <c r="A67" s="115" t="s">
        <v>3268</v>
      </c>
      <c r="B67" s="115" t="s">
        <v>3276</v>
      </c>
      <c r="C67" s="116" t="s">
        <v>1636</v>
      </c>
      <c r="D67" s="115" t="s">
        <v>56</v>
      </c>
      <c r="E67" s="445">
        <v>1</v>
      </c>
    </row>
    <row r="68" spans="1:5" ht="47.25" x14ac:dyDescent="0.25">
      <c r="A68" s="115" t="s">
        <v>3269</v>
      </c>
      <c r="B68" s="115">
        <v>93672</v>
      </c>
      <c r="C68" s="116" t="s">
        <v>3278</v>
      </c>
      <c r="D68" s="115" t="s">
        <v>56</v>
      </c>
      <c r="E68" s="445">
        <v>2</v>
      </c>
    </row>
    <row r="69" spans="1:5" ht="15.75" x14ac:dyDescent="0.25">
      <c r="A69" s="115" t="s">
        <v>3270</v>
      </c>
      <c r="B69" s="115">
        <v>93358</v>
      </c>
      <c r="C69" s="116" t="s">
        <v>503</v>
      </c>
      <c r="D69" s="115" t="s">
        <v>3048</v>
      </c>
      <c r="E69" s="445">
        <v>69</v>
      </c>
    </row>
    <row r="70" spans="1:5" ht="15.75" x14ac:dyDescent="0.25">
      <c r="A70" s="115" t="s">
        <v>3273</v>
      </c>
      <c r="B70" s="115" t="s">
        <v>259</v>
      </c>
      <c r="C70" s="116" t="s">
        <v>506</v>
      </c>
      <c r="D70" s="115" t="s">
        <v>3048</v>
      </c>
      <c r="E70" s="445">
        <v>74</v>
      </c>
    </row>
    <row r="71" spans="1:5" ht="31.5" x14ac:dyDescent="0.25">
      <c r="A71" s="115" t="s">
        <v>3274</v>
      </c>
      <c r="B71" s="115" t="s">
        <v>3288</v>
      </c>
      <c r="C71" s="116" t="s">
        <v>3280</v>
      </c>
      <c r="D71" s="115" t="s">
        <v>99</v>
      </c>
      <c r="E71" s="445">
        <v>8</v>
      </c>
    </row>
    <row r="72" spans="1:5" ht="15.75" x14ac:dyDescent="0.25">
      <c r="A72" s="115" t="s">
        <v>3275</v>
      </c>
      <c r="B72" s="115" t="s">
        <v>3291</v>
      </c>
      <c r="C72" s="116" t="s">
        <v>3281</v>
      </c>
      <c r="D72" s="115" t="s">
        <v>56</v>
      </c>
      <c r="E72" s="445">
        <v>8</v>
      </c>
    </row>
    <row r="73" spans="1:5" ht="31.5" x14ac:dyDescent="0.25">
      <c r="A73" s="115" t="s">
        <v>3277</v>
      </c>
      <c r="B73" s="115" t="s">
        <v>3292</v>
      </c>
      <c r="C73" s="116" t="s">
        <v>3282</v>
      </c>
      <c r="D73" s="115" t="s">
        <v>56</v>
      </c>
      <c r="E73" s="445">
        <v>10</v>
      </c>
    </row>
    <row r="74" spans="1:5" ht="32.25" thickBot="1" x14ac:dyDescent="0.3">
      <c r="A74" s="115" t="s">
        <v>3279</v>
      </c>
      <c r="B74" s="115" t="s">
        <v>882</v>
      </c>
      <c r="C74" s="116" t="s">
        <v>3283</v>
      </c>
      <c r="D74" s="115" t="s">
        <v>56</v>
      </c>
      <c r="E74" s="445">
        <v>8</v>
      </c>
    </row>
    <row r="75" spans="1:5" ht="15.75" x14ac:dyDescent="0.25">
      <c r="A75" s="539" t="s">
        <v>169</v>
      </c>
      <c r="B75" s="544"/>
      <c r="C75" s="545" t="s">
        <v>1637</v>
      </c>
      <c r="D75" s="539"/>
      <c r="E75" s="539"/>
    </row>
    <row r="76" spans="1:5" ht="31.5" x14ac:dyDescent="0.25">
      <c r="A76" s="115" t="s">
        <v>3285</v>
      </c>
      <c r="B76" s="115" t="s">
        <v>918</v>
      </c>
      <c r="C76" s="116" t="s">
        <v>919</v>
      </c>
      <c r="D76" s="115" t="s">
        <v>69</v>
      </c>
      <c r="E76" s="445">
        <v>52</v>
      </c>
    </row>
    <row r="77" spans="1:5" ht="48" thickBot="1" x14ac:dyDescent="0.3">
      <c r="A77" s="115" t="s">
        <v>2333</v>
      </c>
      <c r="B77" s="115" t="s">
        <v>2957</v>
      </c>
      <c r="C77" s="116" t="s">
        <v>3284</v>
      </c>
      <c r="D77" s="115" t="s">
        <v>69</v>
      </c>
      <c r="E77" s="445">
        <v>3</v>
      </c>
    </row>
    <row r="78" spans="1:5" ht="31.5" x14ac:dyDescent="0.25">
      <c r="A78" s="539" t="s">
        <v>170</v>
      </c>
      <c r="B78" s="544"/>
      <c r="C78" s="545" t="s">
        <v>3286</v>
      </c>
      <c r="D78" s="539"/>
      <c r="E78" s="539"/>
    </row>
    <row r="79" spans="1:5" ht="31.5" x14ac:dyDescent="0.25">
      <c r="A79" s="548" t="s">
        <v>1039</v>
      </c>
      <c r="B79" s="115" t="s">
        <v>2121</v>
      </c>
      <c r="C79" s="121" t="s">
        <v>3287</v>
      </c>
      <c r="D79" s="115" t="s">
        <v>56</v>
      </c>
      <c r="E79" s="445">
        <v>1</v>
      </c>
    </row>
    <row r="80" spans="1:5" ht="15.75" x14ac:dyDescent="0.25">
      <c r="A80" s="521"/>
      <c r="B80" s="754"/>
      <c r="C80" s="754"/>
      <c r="D80" s="549"/>
      <c r="E80" s="550" t="s">
        <v>3331</v>
      </c>
    </row>
  </sheetData>
  <mergeCells count="1">
    <mergeCell ref="B80:C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T74"/>
  <sheetViews>
    <sheetView workbookViewId="0">
      <selection activeCell="O74" sqref="O74"/>
    </sheetView>
  </sheetViews>
  <sheetFormatPr defaultColWidth="9.140625" defaultRowHeight="15" x14ac:dyDescent="0.25"/>
  <cols>
    <col min="1" max="8" width="9.140625" style="241"/>
    <col min="9" max="9" width="9.5703125" style="242" bestFit="1" customWidth="1"/>
    <col min="10" max="16384" width="9.140625" style="241"/>
  </cols>
  <sheetData>
    <row r="1" spans="1:15" ht="30.75" thickBot="1" x14ac:dyDescent="0.3">
      <c r="A1" s="758" t="s">
        <v>1621</v>
      </c>
      <c r="B1" s="759"/>
      <c r="C1" s="759"/>
      <c r="D1" s="759"/>
      <c r="E1" s="759"/>
      <c r="F1" s="759"/>
      <c r="G1" s="759"/>
      <c r="H1" s="759"/>
      <c r="I1" s="760"/>
    </row>
    <row r="2" spans="1:15" ht="15.75" thickBot="1" x14ac:dyDescent="0.3"/>
    <row r="3" spans="1:15" ht="18" thickBot="1" x14ac:dyDescent="0.3">
      <c r="A3" s="761" t="s">
        <v>541</v>
      </c>
      <c r="B3" s="762"/>
      <c r="C3" s="762"/>
      <c r="D3" s="762"/>
      <c r="E3" s="762"/>
      <c r="F3" s="762"/>
      <c r="G3" s="762"/>
      <c r="H3" s="762"/>
      <c r="I3" s="763"/>
      <c r="J3" s="243" t="s">
        <v>542</v>
      </c>
    </row>
    <row r="4" spans="1:15" x14ac:dyDescent="0.25">
      <c r="A4" s="764" t="s">
        <v>622</v>
      </c>
      <c r="B4" s="765"/>
      <c r="C4" s="765"/>
      <c r="D4" s="765"/>
      <c r="E4" s="765"/>
      <c r="F4" s="765"/>
      <c r="G4" s="765"/>
      <c r="H4" s="765"/>
      <c r="I4" s="465">
        <v>626.73</v>
      </c>
      <c r="J4" s="466" t="s">
        <v>126</v>
      </c>
      <c r="K4" s="755"/>
      <c r="L4" s="755"/>
      <c r="M4" s="755"/>
      <c r="N4" s="755"/>
      <c r="O4" s="755"/>
    </row>
    <row r="5" spans="1:15" ht="15.75" thickBot="1" x14ac:dyDescent="0.3">
      <c r="A5" s="716" t="s">
        <v>623</v>
      </c>
      <c r="B5" s="717"/>
      <c r="C5" s="717"/>
      <c r="D5" s="717"/>
      <c r="E5" s="717"/>
      <c r="F5" s="717"/>
      <c r="G5" s="717"/>
      <c r="H5" s="717"/>
      <c r="I5" s="467">
        <v>1566.83</v>
      </c>
      <c r="J5" s="466" t="s">
        <v>159</v>
      </c>
      <c r="K5" s="755"/>
      <c r="L5" s="755"/>
      <c r="M5" s="755"/>
      <c r="N5" s="755"/>
      <c r="O5" s="755"/>
    </row>
    <row r="6" spans="1:15" ht="15.75" thickBot="1" x14ac:dyDescent="0.3">
      <c r="A6" s="764" t="s">
        <v>1622</v>
      </c>
      <c r="B6" s="765"/>
      <c r="C6" s="765"/>
      <c r="D6" s="765"/>
      <c r="E6" s="765"/>
      <c r="F6" s="765"/>
      <c r="G6" s="765"/>
      <c r="H6" s="765"/>
      <c r="I6" s="465">
        <v>626.73</v>
      </c>
      <c r="J6" s="466" t="s">
        <v>126</v>
      </c>
      <c r="K6" s="755"/>
      <c r="L6" s="755"/>
      <c r="M6" s="755"/>
      <c r="N6" s="755"/>
      <c r="O6" s="755"/>
    </row>
    <row r="7" spans="1:15" ht="18" thickBot="1" x14ac:dyDescent="0.3">
      <c r="A7" s="761" t="s">
        <v>546</v>
      </c>
      <c r="B7" s="762"/>
      <c r="C7" s="762"/>
      <c r="D7" s="762"/>
      <c r="E7" s="762"/>
      <c r="F7" s="762"/>
      <c r="G7" s="762"/>
      <c r="H7" s="762"/>
      <c r="I7" s="763"/>
      <c r="J7" s="244"/>
    </row>
    <row r="8" spans="1:15" ht="18" thickBot="1" x14ac:dyDescent="0.3">
      <c r="A8" s="766" t="s">
        <v>547</v>
      </c>
      <c r="B8" s="767"/>
      <c r="C8" s="767"/>
      <c r="D8" s="767"/>
      <c r="E8" s="767"/>
      <c r="F8" s="767"/>
      <c r="G8" s="767"/>
      <c r="H8" s="767"/>
      <c r="I8" s="768"/>
      <c r="J8" s="244"/>
    </row>
    <row r="9" spans="1:15" ht="30.75" customHeight="1" x14ac:dyDescent="0.25">
      <c r="A9" s="764" t="s">
        <v>624</v>
      </c>
      <c r="B9" s="765"/>
      <c r="C9" s="765"/>
      <c r="D9" s="765"/>
      <c r="E9" s="765"/>
      <c r="F9" s="765"/>
      <c r="G9" s="765"/>
      <c r="H9" s="765"/>
      <c r="I9" s="469">
        <f>30*2*12</f>
        <v>720</v>
      </c>
      <c r="J9" s="244" t="s">
        <v>75</v>
      </c>
    </row>
    <row r="10" spans="1:15" x14ac:dyDescent="0.25">
      <c r="A10" s="764" t="s">
        <v>2969</v>
      </c>
      <c r="B10" s="765"/>
      <c r="C10" s="765"/>
      <c r="D10" s="765"/>
      <c r="E10" s="765"/>
      <c r="F10" s="765"/>
      <c r="G10" s="765"/>
      <c r="H10" s="765"/>
      <c r="I10" s="476">
        <v>462</v>
      </c>
      <c r="J10" s="244" t="s">
        <v>92</v>
      </c>
    </row>
    <row r="11" spans="1:15" x14ac:dyDescent="0.25">
      <c r="A11" s="764" t="s">
        <v>2970</v>
      </c>
      <c r="B11" s="765"/>
      <c r="C11" s="765"/>
      <c r="D11" s="765"/>
      <c r="E11" s="765"/>
      <c r="F11" s="765"/>
      <c r="G11" s="765"/>
      <c r="H11" s="765"/>
      <c r="I11" s="476">
        <v>1137.5999999999999</v>
      </c>
      <c r="J11" s="244" t="s">
        <v>92</v>
      </c>
    </row>
    <row r="12" spans="1:15" ht="30" customHeight="1" x14ac:dyDescent="0.25">
      <c r="A12" s="764" t="s">
        <v>625</v>
      </c>
      <c r="B12" s="765"/>
      <c r="C12" s="765"/>
      <c r="D12" s="765"/>
      <c r="E12" s="765"/>
      <c r="F12" s="765"/>
      <c r="G12" s="765"/>
      <c r="H12" s="765"/>
      <c r="I12" s="469">
        <f>30*(1.5+0.2+0.2)*(0.6+0.2+0.2)*(0.9+0.6+0.05)</f>
        <v>88.350000000000009</v>
      </c>
      <c r="J12" s="244" t="s">
        <v>126</v>
      </c>
    </row>
    <row r="13" spans="1:15" x14ac:dyDescent="0.25">
      <c r="A13" s="756" t="s">
        <v>626</v>
      </c>
      <c r="B13" s="757"/>
      <c r="C13" s="757"/>
      <c r="D13" s="757"/>
      <c r="E13" s="757"/>
      <c r="F13" s="757"/>
      <c r="G13" s="757"/>
      <c r="H13" s="757"/>
      <c r="I13" s="470">
        <f>(0.2+0.2+0.2)*(30+50.25+30+50.25)*(0.6+0.05)+(0.2+0.14+0.2)*(3.945*4+15.04+5.06+2.36)*(0.4+0.05)</f>
        <v>71.887320000000017</v>
      </c>
      <c r="J13" s="244" t="s">
        <v>126</v>
      </c>
    </row>
    <row r="14" spans="1:15" x14ac:dyDescent="0.25">
      <c r="A14" s="756" t="s">
        <v>627</v>
      </c>
      <c r="B14" s="757"/>
      <c r="C14" s="757"/>
      <c r="D14" s="757"/>
      <c r="E14" s="757"/>
      <c r="F14" s="757"/>
      <c r="G14" s="757"/>
      <c r="H14" s="757"/>
      <c r="I14" s="470">
        <f>16*(0.6+0.4)*(1.5+0.4)+14*(0.6+0.4)*(1.5+0.4)</f>
        <v>57</v>
      </c>
      <c r="J14" s="244" t="s">
        <v>72</v>
      </c>
    </row>
    <row r="15" spans="1:15" ht="30" customHeight="1" x14ac:dyDescent="0.25">
      <c r="A15" s="756" t="s">
        <v>550</v>
      </c>
      <c r="B15" s="757"/>
      <c r="C15" s="757"/>
      <c r="D15" s="757"/>
      <c r="E15" s="757"/>
      <c r="F15" s="757"/>
      <c r="G15" s="757"/>
      <c r="H15" s="757"/>
      <c r="I15" s="470">
        <f>(0.2+0.2+0.2)*(30+50.25+30+50.25)+(0.2+0.14+0.2)*(3.945*4+15.04+5.06+2.36)</f>
        <v>116.94960000000002</v>
      </c>
      <c r="J15" s="244" t="s">
        <v>72</v>
      </c>
    </row>
    <row r="16" spans="1:15" x14ac:dyDescent="0.25">
      <c r="A16" s="756" t="s">
        <v>1626</v>
      </c>
      <c r="B16" s="757"/>
      <c r="C16" s="757"/>
      <c r="D16" s="757"/>
      <c r="E16" s="757"/>
      <c r="F16" s="757"/>
      <c r="G16" s="757"/>
      <c r="H16" s="757"/>
      <c r="I16" s="470">
        <f>I14</f>
        <v>57</v>
      </c>
      <c r="J16" s="244" t="s">
        <v>72</v>
      </c>
    </row>
    <row r="17" spans="1:13" x14ac:dyDescent="0.25">
      <c r="A17" s="771" t="s">
        <v>1594</v>
      </c>
      <c r="B17" s="772"/>
      <c r="C17" s="772"/>
      <c r="D17" s="772"/>
      <c r="E17" s="772"/>
      <c r="F17" s="772"/>
      <c r="G17" s="772"/>
      <c r="H17" s="772"/>
      <c r="I17" s="471">
        <f>I15</f>
        <v>116.94960000000002</v>
      </c>
      <c r="J17" s="244" t="s">
        <v>72</v>
      </c>
    </row>
    <row r="18" spans="1:13" x14ac:dyDescent="0.25">
      <c r="A18" s="756" t="s">
        <v>628</v>
      </c>
      <c r="B18" s="757"/>
      <c r="C18" s="757"/>
      <c r="D18" s="757"/>
      <c r="E18" s="757"/>
      <c r="F18" s="757"/>
      <c r="G18" s="757"/>
      <c r="H18" s="757"/>
      <c r="I18" s="472">
        <v>58.70000000000001</v>
      </c>
      <c r="J18" s="244" t="s">
        <v>126</v>
      </c>
    </row>
    <row r="19" spans="1:13" ht="30" customHeight="1" x14ac:dyDescent="0.25">
      <c r="A19" s="756" t="s">
        <v>553</v>
      </c>
      <c r="B19" s="757"/>
      <c r="C19" s="757"/>
      <c r="D19" s="757"/>
      <c r="E19" s="757"/>
      <c r="F19" s="757"/>
      <c r="G19" s="757"/>
      <c r="H19" s="757"/>
      <c r="I19" s="472">
        <v>45.839840000000009</v>
      </c>
      <c r="J19" s="244" t="s">
        <v>126</v>
      </c>
    </row>
    <row r="20" spans="1:13" ht="30" customHeight="1" x14ac:dyDescent="0.25">
      <c r="A20" s="756" t="s">
        <v>629</v>
      </c>
      <c r="B20" s="757"/>
      <c r="C20" s="757"/>
      <c r="D20" s="757"/>
      <c r="E20" s="757"/>
      <c r="F20" s="757"/>
      <c r="G20" s="757"/>
      <c r="H20" s="757"/>
      <c r="I20" s="472">
        <v>31.590000000000003</v>
      </c>
      <c r="J20" s="244" t="s">
        <v>126</v>
      </c>
    </row>
    <row r="21" spans="1:13" ht="30" customHeight="1" x14ac:dyDescent="0.25">
      <c r="A21" s="756" t="s">
        <v>630</v>
      </c>
      <c r="B21" s="757"/>
      <c r="C21" s="757"/>
      <c r="D21" s="757"/>
      <c r="E21" s="757"/>
      <c r="F21" s="757"/>
      <c r="G21" s="757"/>
      <c r="H21" s="757"/>
      <c r="I21" s="472">
        <v>26.26</v>
      </c>
      <c r="J21" s="244" t="s">
        <v>126</v>
      </c>
    </row>
    <row r="22" spans="1:13" ht="30" customHeight="1" x14ac:dyDescent="0.25">
      <c r="A22" s="756" t="s">
        <v>556</v>
      </c>
      <c r="B22" s="757"/>
      <c r="C22" s="757"/>
      <c r="D22" s="757"/>
      <c r="E22" s="757"/>
      <c r="F22" s="757"/>
      <c r="G22" s="757"/>
      <c r="H22" s="757"/>
      <c r="I22" s="472">
        <v>246.2</v>
      </c>
      <c r="J22" s="244" t="s">
        <v>72</v>
      </c>
    </row>
    <row r="23" spans="1:13" ht="15" customHeight="1" thickBot="1" x14ac:dyDescent="0.3">
      <c r="A23" s="716" t="s">
        <v>558</v>
      </c>
      <c r="B23" s="717"/>
      <c r="C23" s="717"/>
      <c r="D23" s="717"/>
      <c r="E23" s="717"/>
      <c r="F23" s="717"/>
      <c r="G23" s="717"/>
      <c r="H23" s="717"/>
      <c r="I23" s="473">
        <v>1566.83</v>
      </c>
      <c r="J23" s="244" t="s">
        <v>72</v>
      </c>
    </row>
    <row r="24" spans="1:13" ht="15" customHeight="1" thickBot="1" x14ac:dyDescent="0.3">
      <c r="A24" s="773" t="s">
        <v>153</v>
      </c>
      <c r="B24" s="774"/>
      <c r="C24" s="774"/>
      <c r="D24" s="774"/>
      <c r="E24" s="774"/>
      <c r="F24" s="774"/>
      <c r="G24" s="774"/>
      <c r="H24" s="774"/>
      <c r="I24" s="775"/>
      <c r="J24" s="244"/>
    </row>
    <row r="25" spans="1:13" ht="30" customHeight="1" x14ac:dyDescent="0.25">
      <c r="A25" s="776" t="s">
        <v>560</v>
      </c>
      <c r="B25" s="777"/>
      <c r="C25" s="777"/>
      <c r="D25" s="777"/>
      <c r="E25" s="777"/>
      <c r="F25" s="777"/>
      <c r="G25" s="777"/>
      <c r="H25" s="777"/>
      <c r="I25" s="471">
        <f>(I23)*0.05</f>
        <v>78.341499999999996</v>
      </c>
      <c r="J25" s="244" t="s">
        <v>126</v>
      </c>
      <c r="L25" s="245">
        <f>I23</f>
        <v>1566.83</v>
      </c>
      <c r="M25" s="241" t="s">
        <v>10</v>
      </c>
    </row>
    <row r="26" spans="1:13" ht="15" customHeight="1" x14ac:dyDescent="0.25">
      <c r="A26" s="778" t="s">
        <v>557</v>
      </c>
      <c r="B26" s="779"/>
      <c r="C26" s="779"/>
      <c r="D26" s="779"/>
      <c r="E26" s="779"/>
      <c r="F26" s="779"/>
      <c r="G26" s="779"/>
      <c r="H26" s="780"/>
      <c r="I26" s="470">
        <f>I25/0.05</f>
        <v>1566.83</v>
      </c>
      <c r="J26" s="244" t="s">
        <v>72</v>
      </c>
    </row>
    <row r="27" spans="1:13" ht="15" customHeight="1" x14ac:dyDescent="0.25">
      <c r="A27" s="769" t="s">
        <v>559</v>
      </c>
      <c r="B27" s="770"/>
      <c r="C27" s="770"/>
      <c r="D27" s="770"/>
      <c r="E27" s="770"/>
      <c r="F27" s="770"/>
      <c r="G27" s="770"/>
      <c r="H27" s="770"/>
      <c r="I27" s="470">
        <f>I26*0.07</f>
        <v>109.6781</v>
      </c>
      <c r="J27" s="244" t="s">
        <v>126</v>
      </c>
    </row>
    <row r="28" spans="1:13" ht="15" customHeight="1" x14ac:dyDescent="0.25">
      <c r="A28" s="769" t="s">
        <v>561</v>
      </c>
      <c r="B28" s="770"/>
      <c r="C28" s="770"/>
      <c r="D28" s="770"/>
      <c r="E28" s="770"/>
      <c r="F28" s="770"/>
      <c r="G28" s="770"/>
      <c r="H28" s="770"/>
      <c r="I28" s="470">
        <f>I27</f>
        <v>109.6781</v>
      </c>
      <c r="J28" s="244" t="s">
        <v>126</v>
      </c>
    </row>
    <row r="29" spans="1:13" ht="15.75" thickBot="1" x14ac:dyDescent="0.3">
      <c r="A29" s="769" t="s">
        <v>1623</v>
      </c>
      <c r="B29" s="770"/>
      <c r="C29" s="770"/>
      <c r="D29" s="770"/>
      <c r="E29" s="770"/>
      <c r="F29" s="770"/>
      <c r="G29" s="770"/>
      <c r="H29" s="770"/>
      <c r="I29" s="470">
        <f>I26*1.2</f>
        <v>1880.1959999999999</v>
      </c>
      <c r="J29" s="244" t="s">
        <v>106</v>
      </c>
      <c r="K29" s="241" t="s">
        <v>1624</v>
      </c>
      <c r="L29" s="474">
        <f>I29*1.48</f>
        <v>2782.6900799999999</v>
      </c>
      <c r="M29" s="475" t="s">
        <v>562</v>
      </c>
    </row>
    <row r="30" spans="1:13" ht="18" thickBot="1" x14ac:dyDescent="0.3">
      <c r="A30" s="781" t="s">
        <v>631</v>
      </c>
      <c r="B30" s="782"/>
      <c r="C30" s="782"/>
      <c r="D30" s="782"/>
      <c r="E30" s="782"/>
      <c r="F30" s="782"/>
      <c r="G30" s="782"/>
      <c r="H30" s="782"/>
      <c r="I30" s="783"/>
      <c r="J30" s="244"/>
    </row>
    <row r="31" spans="1:13" x14ac:dyDescent="0.25">
      <c r="A31" s="784" t="s">
        <v>151</v>
      </c>
      <c r="B31" s="785"/>
      <c r="C31" s="785"/>
      <c r="D31" s="785"/>
      <c r="E31" s="785"/>
      <c r="F31" s="785"/>
      <c r="G31" s="785"/>
      <c r="H31" s="785"/>
      <c r="I31" s="469">
        <f>30*(1.5+0.6+1.5+0.6)*0.9</f>
        <v>113.4</v>
      </c>
      <c r="J31" s="244" t="s">
        <v>72</v>
      </c>
    </row>
    <row r="32" spans="1:13" x14ac:dyDescent="0.25">
      <c r="A32" s="769" t="s">
        <v>564</v>
      </c>
      <c r="B32" s="770"/>
      <c r="C32" s="770"/>
      <c r="D32" s="770"/>
      <c r="E32" s="770"/>
      <c r="F32" s="770"/>
      <c r="G32" s="770"/>
      <c r="H32" s="770"/>
      <c r="I32" s="470">
        <f>30*1.5*0.6*0.9</f>
        <v>24.3</v>
      </c>
      <c r="J32" s="244" t="s">
        <v>126</v>
      </c>
    </row>
    <row r="33" spans="1:10" x14ac:dyDescent="0.25">
      <c r="A33" s="769" t="s">
        <v>561</v>
      </c>
      <c r="B33" s="770"/>
      <c r="C33" s="770"/>
      <c r="D33" s="770"/>
      <c r="E33" s="770"/>
      <c r="F33" s="770"/>
      <c r="G33" s="770"/>
      <c r="H33" s="770"/>
      <c r="I33" s="470">
        <f>I32</f>
        <v>24.3</v>
      </c>
      <c r="J33" s="244" t="s">
        <v>126</v>
      </c>
    </row>
    <row r="34" spans="1:10" x14ac:dyDescent="0.25">
      <c r="A34" s="769" t="s">
        <v>569</v>
      </c>
      <c r="B34" s="770"/>
      <c r="C34" s="770"/>
      <c r="D34" s="770"/>
      <c r="E34" s="770"/>
      <c r="F34" s="770"/>
      <c r="G34" s="770"/>
      <c r="H34" s="770"/>
      <c r="I34" s="470">
        <v>388.52</v>
      </c>
      <c r="J34" s="244" t="s">
        <v>562</v>
      </c>
    </row>
    <row r="35" spans="1:10" x14ac:dyDescent="0.25">
      <c r="A35" s="769" t="s">
        <v>565</v>
      </c>
      <c r="B35" s="770"/>
      <c r="C35" s="770"/>
      <c r="D35" s="770"/>
      <c r="E35" s="770"/>
      <c r="F35" s="770"/>
      <c r="G35" s="770"/>
      <c r="H35" s="770"/>
      <c r="I35" s="470"/>
      <c r="J35" s="244" t="s">
        <v>562</v>
      </c>
    </row>
    <row r="36" spans="1:10" ht="15.75" thickBot="1" x14ac:dyDescent="0.3">
      <c r="A36" s="776" t="s">
        <v>566</v>
      </c>
      <c r="B36" s="777"/>
      <c r="C36" s="777"/>
      <c r="D36" s="777"/>
      <c r="E36" s="777"/>
      <c r="F36" s="777"/>
      <c r="G36" s="777"/>
      <c r="H36" s="777"/>
      <c r="I36" s="471">
        <v>192.99</v>
      </c>
      <c r="J36" s="244" t="s">
        <v>562</v>
      </c>
    </row>
    <row r="37" spans="1:10" ht="18" thickBot="1" x14ac:dyDescent="0.3">
      <c r="A37" s="781" t="s">
        <v>567</v>
      </c>
      <c r="B37" s="782"/>
      <c r="C37" s="782"/>
      <c r="D37" s="782"/>
      <c r="E37" s="782"/>
      <c r="F37" s="782"/>
      <c r="G37" s="782"/>
      <c r="H37" s="782"/>
      <c r="I37" s="783"/>
      <c r="J37" s="244"/>
    </row>
    <row r="38" spans="1:10" x14ac:dyDescent="0.25">
      <c r="A38" s="784" t="s">
        <v>632</v>
      </c>
      <c r="B38" s="785"/>
      <c r="C38" s="785"/>
      <c r="D38" s="785"/>
      <c r="E38" s="785"/>
      <c r="F38" s="785"/>
      <c r="G38" s="785"/>
      <c r="H38" s="785"/>
      <c r="I38" s="469">
        <v>246.2</v>
      </c>
      <c r="J38" s="244" t="s">
        <v>72</v>
      </c>
    </row>
    <row r="39" spans="1:10" x14ac:dyDescent="0.25">
      <c r="A39" s="769" t="s">
        <v>564</v>
      </c>
      <c r="B39" s="770"/>
      <c r="C39" s="770"/>
      <c r="D39" s="770"/>
      <c r="E39" s="770"/>
      <c r="F39" s="770"/>
      <c r="G39" s="770"/>
      <c r="H39" s="770"/>
      <c r="I39" s="470">
        <v>20.2</v>
      </c>
      <c r="J39" s="244" t="s">
        <v>126</v>
      </c>
    </row>
    <row r="40" spans="1:10" x14ac:dyDescent="0.25">
      <c r="A40" s="769" t="s">
        <v>561</v>
      </c>
      <c r="B40" s="770"/>
      <c r="C40" s="770"/>
      <c r="D40" s="770"/>
      <c r="E40" s="770"/>
      <c r="F40" s="770"/>
      <c r="G40" s="770"/>
      <c r="H40" s="770"/>
      <c r="I40" s="470">
        <f>I39</f>
        <v>20.2</v>
      </c>
      <c r="J40" s="244" t="s">
        <v>126</v>
      </c>
    </row>
    <row r="41" spans="1:10" x14ac:dyDescent="0.25">
      <c r="A41" s="769" t="s">
        <v>568</v>
      </c>
      <c r="B41" s="770"/>
      <c r="C41" s="770"/>
      <c r="D41" s="770"/>
      <c r="E41" s="770"/>
      <c r="F41" s="770"/>
      <c r="G41" s="770"/>
      <c r="H41" s="770"/>
      <c r="I41" s="470">
        <f>131+164</f>
        <v>295</v>
      </c>
      <c r="J41" s="244" t="s">
        <v>562</v>
      </c>
    </row>
    <row r="42" spans="1:10" x14ac:dyDescent="0.25">
      <c r="A42" s="769" t="s">
        <v>570</v>
      </c>
      <c r="B42" s="770"/>
      <c r="C42" s="770"/>
      <c r="D42" s="770"/>
      <c r="E42" s="770"/>
      <c r="F42" s="770"/>
      <c r="G42" s="770"/>
      <c r="H42" s="770"/>
      <c r="I42" s="470">
        <f>168+243</f>
        <v>411</v>
      </c>
      <c r="J42" s="244" t="s">
        <v>562</v>
      </c>
    </row>
    <row r="43" spans="1:10" x14ac:dyDescent="0.25">
      <c r="A43" s="769" t="s">
        <v>565</v>
      </c>
      <c r="B43" s="770"/>
      <c r="C43" s="770"/>
      <c r="D43" s="770"/>
      <c r="E43" s="770"/>
      <c r="F43" s="770"/>
      <c r="G43" s="770"/>
      <c r="H43" s="770"/>
      <c r="I43" s="470">
        <v>510</v>
      </c>
      <c r="J43" s="244" t="s">
        <v>562</v>
      </c>
    </row>
    <row r="44" spans="1:10" x14ac:dyDescent="0.25">
      <c r="A44" s="769" t="s">
        <v>566</v>
      </c>
      <c r="B44" s="770"/>
      <c r="C44" s="770"/>
      <c r="D44" s="770"/>
      <c r="E44" s="770"/>
      <c r="F44" s="770"/>
      <c r="G44" s="770"/>
      <c r="H44" s="770"/>
      <c r="I44" s="470">
        <v>50</v>
      </c>
      <c r="J44" s="244" t="s">
        <v>562</v>
      </c>
    </row>
    <row r="45" spans="1:10" x14ac:dyDescent="0.25">
      <c r="A45" s="769" t="s">
        <v>571</v>
      </c>
      <c r="B45" s="770"/>
      <c r="C45" s="770"/>
      <c r="D45" s="770"/>
      <c r="E45" s="770"/>
      <c r="F45" s="770"/>
      <c r="G45" s="770"/>
      <c r="H45" s="770"/>
      <c r="I45" s="470">
        <v>18</v>
      </c>
      <c r="J45" s="244" t="s">
        <v>562</v>
      </c>
    </row>
    <row r="46" spans="1:10" ht="15.75" thickBot="1" x14ac:dyDescent="0.3">
      <c r="A46" s="468"/>
      <c r="B46" s="468"/>
      <c r="C46" s="468"/>
      <c r="D46" s="468"/>
      <c r="E46" s="468"/>
      <c r="F46" s="468"/>
      <c r="G46" s="468"/>
      <c r="H46" s="468"/>
      <c r="J46" s="244"/>
    </row>
    <row r="47" spans="1:10" ht="18" thickBot="1" x14ac:dyDescent="0.3">
      <c r="A47" s="786" t="s">
        <v>572</v>
      </c>
      <c r="B47" s="787"/>
      <c r="C47" s="787"/>
      <c r="D47" s="787"/>
      <c r="E47" s="787"/>
      <c r="F47" s="787"/>
      <c r="G47" s="787"/>
      <c r="H47" s="787"/>
      <c r="I47" s="788"/>
      <c r="J47" s="244"/>
    </row>
    <row r="48" spans="1:10" ht="18" thickBot="1" x14ac:dyDescent="0.3">
      <c r="A48" s="781" t="s">
        <v>573</v>
      </c>
      <c r="B48" s="782"/>
      <c r="C48" s="782"/>
      <c r="D48" s="782"/>
      <c r="E48" s="782"/>
      <c r="F48" s="782"/>
      <c r="G48" s="782"/>
      <c r="H48" s="782"/>
      <c r="I48" s="783"/>
      <c r="J48" s="244"/>
    </row>
    <row r="49" spans="1:10" x14ac:dyDescent="0.25">
      <c r="A49" s="784" t="s">
        <v>574</v>
      </c>
      <c r="B49" s="785"/>
      <c r="C49" s="785"/>
      <c r="D49" s="785"/>
      <c r="E49" s="785"/>
      <c r="F49" s="785"/>
      <c r="G49" s="785"/>
      <c r="H49" s="785"/>
      <c r="I49" s="469">
        <f>138.6+123.8+237.7+29.1</f>
        <v>529.19999999999993</v>
      </c>
      <c r="J49" s="244" t="s">
        <v>72</v>
      </c>
    </row>
    <row r="50" spans="1:10" x14ac:dyDescent="0.25">
      <c r="A50" s="769" t="s">
        <v>564</v>
      </c>
      <c r="B50" s="770"/>
      <c r="C50" s="770"/>
      <c r="D50" s="770"/>
      <c r="E50" s="770"/>
      <c r="F50" s="770"/>
      <c r="G50" s="770"/>
      <c r="H50" s="770"/>
      <c r="I50" s="470">
        <f>13.5+10.9+20.2+2.5</f>
        <v>47.099999999999994</v>
      </c>
      <c r="J50" s="244" t="s">
        <v>126</v>
      </c>
    </row>
    <row r="51" spans="1:10" x14ac:dyDescent="0.25">
      <c r="A51" s="769" t="s">
        <v>561</v>
      </c>
      <c r="B51" s="770"/>
      <c r="C51" s="770"/>
      <c r="D51" s="770"/>
      <c r="E51" s="770"/>
      <c r="F51" s="770"/>
      <c r="G51" s="770"/>
      <c r="H51" s="770"/>
      <c r="I51" s="470">
        <f>I50</f>
        <v>47.099999999999994</v>
      </c>
      <c r="J51" s="244" t="s">
        <v>126</v>
      </c>
    </row>
    <row r="52" spans="1:10" x14ac:dyDescent="0.25">
      <c r="A52" s="769" t="s">
        <v>568</v>
      </c>
      <c r="B52" s="770"/>
      <c r="C52" s="770"/>
      <c r="D52" s="770"/>
      <c r="E52" s="770"/>
      <c r="F52" s="770"/>
      <c r="G52" s="770"/>
      <c r="H52" s="770"/>
      <c r="I52" s="470">
        <f>223+181+305+83</f>
        <v>792</v>
      </c>
      <c r="J52" s="244" t="s">
        <v>562</v>
      </c>
    </row>
    <row r="53" spans="1:10" x14ac:dyDescent="0.25">
      <c r="A53" s="769" t="s">
        <v>569</v>
      </c>
      <c r="B53" s="770"/>
      <c r="C53" s="770"/>
      <c r="D53" s="770"/>
      <c r="E53" s="770"/>
      <c r="F53" s="770"/>
      <c r="G53" s="770"/>
      <c r="H53" s="770"/>
      <c r="I53" s="470">
        <f>47+45+71+33</f>
        <v>196</v>
      </c>
      <c r="J53" s="244" t="s">
        <v>562</v>
      </c>
    </row>
    <row r="54" spans="1:10" x14ac:dyDescent="0.25">
      <c r="A54" s="769" t="s">
        <v>570</v>
      </c>
      <c r="B54" s="770"/>
      <c r="C54" s="770"/>
      <c r="D54" s="770"/>
      <c r="E54" s="770"/>
      <c r="F54" s="770"/>
      <c r="G54" s="770"/>
      <c r="H54" s="770"/>
      <c r="I54" s="470">
        <f>43+0+4</f>
        <v>47</v>
      </c>
      <c r="J54" s="244" t="s">
        <v>562</v>
      </c>
    </row>
    <row r="55" spans="1:10" x14ac:dyDescent="0.25">
      <c r="A55" s="769" t="s">
        <v>565</v>
      </c>
      <c r="B55" s="770"/>
      <c r="C55" s="770"/>
      <c r="D55" s="770"/>
      <c r="E55" s="770"/>
      <c r="F55" s="770"/>
      <c r="G55" s="770"/>
      <c r="H55" s="770"/>
      <c r="I55" s="470">
        <f>324+300+130+47</f>
        <v>801</v>
      </c>
      <c r="J55" s="244" t="s">
        <v>562</v>
      </c>
    </row>
    <row r="56" spans="1:10" x14ac:dyDescent="0.25">
      <c r="A56" s="769" t="s">
        <v>566</v>
      </c>
      <c r="B56" s="770"/>
      <c r="C56" s="770"/>
      <c r="D56" s="770"/>
      <c r="E56" s="770"/>
      <c r="F56" s="770"/>
      <c r="G56" s="770"/>
      <c r="H56" s="770"/>
      <c r="I56" s="470">
        <f>69+76+746+64</f>
        <v>955</v>
      </c>
      <c r="J56" s="244" t="s">
        <v>562</v>
      </c>
    </row>
    <row r="57" spans="1:10" x14ac:dyDescent="0.25">
      <c r="A57" s="769" t="s">
        <v>571</v>
      </c>
      <c r="B57" s="770"/>
      <c r="C57" s="770"/>
      <c r="D57" s="770"/>
      <c r="E57" s="770"/>
      <c r="F57" s="770"/>
      <c r="G57" s="770"/>
      <c r="H57" s="770"/>
      <c r="I57" s="470">
        <v>569</v>
      </c>
      <c r="J57" s="244" t="s">
        <v>562</v>
      </c>
    </row>
    <row r="58" spans="1:10" ht="15.75" thickBot="1" x14ac:dyDescent="0.3">
      <c r="A58" s="776" t="s">
        <v>575</v>
      </c>
      <c r="B58" s="777"/>
      <c r="C58" s="777"/>
      <c r="D58" s="777"/>
      <c r="E58" s="777"/>
      <c r="F58" s="777"/>
      <c r="G58" s="777"/>
      <c r="H58" s="777"/>
      <c r="I58" s="471">
        <f>367+469+727+289</f>
        <v>1852</v>
      </c>
      <c r="J58" s="244" t="s">
        <v>562</v>
      </c>
    </row>
    <row r="59" spans="1:10" ht="18" thickBot="1" x14ac:dyDescent="0.3">
      <c r="A59" s="781" t="s">
        <v>576</v>
      </c>
      <c r="B59" s="782"/>
      <c r="C59" s="782"/>
      <c r="D59" s="782"/>
      <c r="E59" s="782"/>
      <c r="F59" s="782"/>
      <c r="G59" s="782"/>
      <c r="H59" s="782"/>
      <c r="I59" s="783"/>
      <c r="J59" s="244"/>
    </row>
    <row r="60" spans="1:10" x14ac:dyDescent="0.25">
      <c r="A60" s="784" t="s">
        <v>574</v>
      </c>
      <c r="B60" s="785"/>
      <c r="C60" s="785"/>
      <c r="D60" s="785"/>
      <c r="E60" s="785"/>
      <c r="F60" s="785"/>
      <c r="G60" s="785"/>
      <c r="H60" s="785"/>
      <c r="I60" s="469">
        <f>210.8+212.2+246.2</f>
        <v>669.2</v>
      </c>
      <c r="J60" s="244" t="s">
        <v>72</v>
      </c>
    </row>
    <row r="61" spans="1:10" x14ac:dyDescent="0.25">
      <c r="A61" s="769" t="s">
        <v>564</v>
      </c>
      <c r="B61" s="770"/>
      <c r="C61" s="770"/>
      <c r="D61" s="770"/>
      <c r="E61" s="770"/>
      <c r="F61" s="770"/>
      <c r="G61" s="770"/>
      <c r="H61" s="770"/>
      <c r="I61" s="470">
        <f>18.1+18.2+20.2</f>
        <v>56.5</v>
      </c>
      <c r="J61" s="244" t="s">
        <v>126</v>
      </c>
    </row>
    <row r="62" spans="1:10" x14ac:dyDescent="0.25">
      <c r="A62" s="769" t="s">
        <v>561</v>
      </c>
      <c r="B62" s="770"/>
      <c r="C62" s="770"/>
      <c r="D62" s="770"/>
      <c r="E62" s="770"/>
      <c r="F62" s="770"/>
      <c r="G62" s="770"/>
      <c r="H62" s="770"/>
      <c r="I62" s="470">
        <f>I61</f>
        <v>56.5</v>
      </c>
      <c r="J62" s="244" t="s">
        <v>126</v>
      </c>
    </row>
    <row r="63" spans="1:10" x14ac:dyDescent="0.25">
      <c r="A63" s="769" t="s">
        <v>568</v>
      </c>
      <c r="B63" s="770"/>
      <c r="C63" s="770"/>
      <c r="D63" s="770"/>
      <c r="E63" s="770"/>
      <c r="F63" s="770"/>
      <c r="G63" s="770"/>
      <c r="H63" s="770"/>
      <c r="I63" s="470">
        <f>261+261+294</f>
        <v>816</v>
      </c>
      <c r="J63" s="244" t="s">
        <v>562</v>
      </c>
    </row>
    <row r="64" spans="1:10" x14ac:dyDescent="0.25">
      <c r="A64" s="769" t="s">
        <v>570</v>
      </c>
      <c r="B64" s="770"/>
      <c r="C64" s="770"/>
      <c r="D64" s="770"/>
      <c r="E64" s="770"/>
      <c r="F64" s="770"/>
      <c r="G64" s="770"/>
      <c r="H64" s="770"/>
      <c r="I64" s="470">
        <f>390+390+412</f>
        <v>1192</v>
      </c>
      <c r="J64" s="244" t="s">
        <v>562</v>
      </c>
    </row>
    <row r="65" spans="1:20" x14ac:dyDescent="0.25">
      <c r="A65" s="769" t="s">
        <v>565</v>
      </c>
      <c r="B65" s="770"/>
      <c r="C65" s="770"/>
      <c r="D65" s="770"/>
      <c r="E65" s="770"/>
      <c r="F65" s="770"/>
      <c r="G65" s="770"/>
      <c r="H65" s="770"/>
      <c r="I65" s="470">
        <f>484+476+533</f>
        <v>1493</v>
      </c>
      <c r="J65" s="244" t="s">
        <v>562</v>
      </c>
    </row>
    <row r="66" spans="1:20" ht="15.75" thickBot="1" x14ac:dyDescent="0.3">
      <c r="A66" s="789" t="s">
        <v>566</v>
      </c>
      <c r="B66" s="790"/>
      <c r="C66" s="790"/>
      <c r="D66" s="790"/>
      <c r="E66" s="790"/>
      <c r="F66" s="790"/>
      <c r="G66" s="790"/>
      <c r="H66" s="790"/>
      <c r="I66" s="473">
        <f>0+0+20</f>
        <v>20</v>
      </c>
      <c r="J66" s="244" t="s">
        <v>562</v>
      </c>
    </row>
    <row r="67" spans="1:20" ht="18" thickBot="1" x14ac:dyDescent="0.3">
      <c r="A67" s="781" t="s">
        <v>583</v>
      </c>
      <c r="B67" s="782"/>
      <c r="C67" s="782"/>
      <c r="D67" s="782"/>
      <c r="E67" s="782"/>
      <c r="F67" s="782"/>
      <c r="G67" s="782"/>
      <c r="H67" s="782"/>
      <c r="I67" s="783"/>
      <c r="J67" s="244"/>
    </row>
    <row r="68" spans="1:20" x14ac:dyDescent="0.25">
      <c r="A68" s="784" t="s">
        <v>1625</v>
      </c>
      <c r="B68" s="785"/>
      <c r="C68" s="785"/>
      <c r="D68" s="785"/>
      <c r="E68" s="785"/>
      <c r="F68" s="785"/>
      <c r="G68" s="785"/>
      <c r="H68" s="785"/>
      <c r="I68" s="469">
        <f>15.04*3.945</f>
        <v>59.332799999999992</v>
      </c>
      <c r="J68" s="244" t="s">
        <v>72</v>
      </c>
    </row>
    <row r="69" spans="1:20" ht="18" thickBot="1" x14ac:dyDescent="0.3">
      <c r="A69" s="784" t="s">
        <v>3051</v>
      </c>
      <c r="B69" s="785"/>
      <c r="C69" s="785"/>
      <c r="D69" s="785"/>
      <c r="E69" s="785"/>
      <c r="F69" s="785"/>
      <c r="G69" s="785"/>
      <c r="H69" s="785"/>
      <c r="I69" s="469">
        <f>15.04*3.945*1.2</f>
        <v>71.199359999999984</v>
      </c>
      <c r="J69" s="244"/>
      <c r="K69" s="501"/>
      <c r="L69" s="501"/>
      <c r="M69" s="501"/>
      <c r="N69" s="501"/>
      <c r="O69" s="501"/>
      <c r="P69" s="501"/>
      <c r="Q69" s="501"/>
      <c r="R69" s="501"/>
      <c r="S69" s="501"/>
      <c r="T69" s="497"/>
    </row>
    <row r="70" spans="1:20" ht="18" thickBot="1" x14ac:dyDescent="0.3">
      <c r="A70" s="791" t="s">
        <v>3096</v>
      </c>
      <c r="B70" s="792"/>
      <c r="C70" s="792"/>
      <c r="D70" s="792"/>
      <c r="E70" s="792"/>
      <c r="F70" s="792"/>
      <c r="G70" s="792"/>
      <c r="H70" s="792"/>
      <c r="I70" s="793"/>
      <c r="J70" s="244"/>
      <c r="K70" s="502"/>
      <c r="L70" s="502"/>
      <c r="M70" s="502"/>
      <c r="N70" s="502"/>
      <c r="O70" s="502"/>
      <c r="P70" s="502"/>
      <c r="Q70" s="502"/>
      <c r="R70" s="502"/>
      <c r="S70" s="498"/>
      <c r="T70" s="497"/>
    </row>
    <row r="71" spans="1:20" x14ac:dyDescent="0.25">
      <c r="A71" s="794" t="s">
        <v>578</v>
      </c>
      <c r="B71" s="795"/>
      <c r="C71" s="795"/>
      <c r="D71" s="795"/>
      <c r="E71" s="795"/>
      <c r="F71" s="795"/>
      <c r="G71" s="795"/>
      <c r="H71" s="795"/>
      <c r="I71" s="477">
        <f>20213.97+11918.71+620.48+19.15+917.2+662.98</f>
        <v>34352.49</v>
      </c>
      <c r="J71" s="244" t="s">
        <v>579</v>
      </c>
      <c r="K71" s="502"/>
      <c r="L71" s="502"/>
      <c r="M71" s="502"/>
      <c r="N71" s="502"/>
      <c r="O71" s="502"/>
      <c r="P71" s="502"/>
      <c r="Q71" s="502"/>
      <c r="R71" s="502"/>
      <c r="S71" s="498"/>
      <c r="T71" s="497"/>
    </row>
    <row r="72" spans="1:20" x14ac:dyDescent="0.25">
      <c r="A72" s="769" t="s">
        <v>580</v>
      </c>
      <c r="B72" s="770"/>
      <c r="C72" s="770"/>
      <c r="D72" s="770"/>
      <c r="E72" s="770"/>
      <c r="F72" s="770"/>
      <c r="G72" s="770"/>
      <c r="H72" s="770"/>
      <c r="I72" s="470">
        <f>1053.1+75.27</f>
        <v>1128.3699999999999</v>
      </c>
      <c r="J72" s="244" t="s">
        <v>581</v>
      </c>
      <c r="K72" s="502"/>
      <c r="L72" s="502"/>
      <c r="M72" s="502"/>
      <c r="N72" s="502"/>
      <c r="O72" s="502"/>
      <c r="P72" s="502"/>
      <c r="Q72" s="502"/>
      <c r="R72" s="502"/>
      <c r="S72" s="498"/>
      <c r="T72" s="497"/>
    </row>
    <row r="73" spans="1:20" s="495" customFormat="1" ht="15" customHeight="1" x14ac:dyDescent="0.25">
      <c r="A73" s="769" t="s">
        <v>3095</v>
      </c>
      <c r="B73" s="770"/>
      <c r="C73" s="770"/>
      <c r="D73" s="770"/>
      <c r="E73" s="770"/>
      <c r="F73" s="770"/>
      <c r="G73" s="770"/>
      <c r="H73" s="770"/>
      <c r="I73" s="470">
        <v>10.56</v>
      </c>
      <c r="J73" s="496" t="s">
        <v>579</v>
      </c>
      <c r="K73" s="499"/>
      <c r="L73" s="500"/>
      <c r="M73" s="500"/>
      <c r="N73" s="500"/>
      <c r="O73" s="500"/>
      <c r="P73" s="500"/>
      <c r="Q73" s="500"/>
      <c r="R73" s="500"/>
      <c r="S73" s="500"/>
      <c r="T73" s="500"/>
    </row>
    <row r="74" spans="1:20" x14ac:dyDescent="0.25">
      <c r="A74" s="769" t="s">
        <v>2968</v>
      </c>
      <c r="B74" s="770"/>
      <c r="C74" s="770"/>
      <c r="D74" s="770"/>
      <c r="E74" s="770"/>
      <c r="F74" s="770"/>
      <c r="G74" s="770"/>
      <c r="H74" s="770"/>
      <c r="I74" s="478">
        <f>1165.49</f>
        <v>1165.49</v>
      </c>
      <c r="J74" s="244" t="s">
        <v>579</v>
      </c>
      <c r="K74" s="499"/>
      <c r="L74" s="500"/>
      <c r="M74" s="500"/>
      <c r="N74" s="500"/>
      <c r="O74" s="500"/>
      <c r="P74" s="500"/>
      <c r="Q74" s="500"/>
      <c r="R74" s="500"/>
      <c r="S74" s="500"/>
      <c r="T74" s="500"/>
    </row>
  </sheetData>
  <mergeCells count="73">
    <mergeCell ref="A73:H73"/>
    <mergeCell ref="A74:H74"/>
    <mergeCell ref="A68:H68"/>
    <mergeCell ref="A69:H69"/>
    <mergeCell ref="A70:I70"/>
    <mergeCell ref="A71:H71"/>
    <mergeCell ref="A72:H72"/>
    <mergeCell ref="A63:H63"/>
    <mergeCell ref="A64:H64"/>
    <mergeCell ref="A65:H65"/>
    <mergeCell ref="A66:H66"/>
    <mergeCell ref="A67:I67"/>
    <mergeCell ref="A62:H62"/>
    <mergeCell ref="A51:H51"/>
    <mergeCell ref="A52:H52"/>
    <mergeCell ref="A53:H53"/>
    <mergeCell ref="A54:H54"/>
    <mergeCell ref="A55:H55"/>
    <mergeCell ref="A56:H56"/>
    <mergeCell ref="A57:H57"/>
    <mergeCell ref="A58:H58"/>
    <mergeCell ref="A59:I59"/>
    <mergeCell ref="A60:H60"/>
    <mergeCell ref="A61:H61"/>
    <mergeCell ref="A45:H45"/>
    <mergeCell ref="A47:I47"/>
    <mergeCell ref="A48:I48"/>
    <mergeCell ref="A49:H49"/>
    <mergeCell ref="A50:H50"/>
    <mergeCell ref="A40:H40"/>
    <mergeCell ref="A41:H41"/>
    <mergeCell ref="A42:H42"/>
    <mergeCell ref="A43:H43"/>
    <mergeCell ref="A44:H44"/>
    <mergeCell ref="A39:H39"/>
    <mergeCell ref="A28:H28"/>
    <mergeCell ref="A29:H29"/>
    <mergeCell ref="A30:I30"/>
    <mergeCell ref="A31:H31"/>
    <mergeCell ref="A32:H32"/>
    <mergeCell ref="A33:H33"/>
    <mergeCell ref="A34:H34"/>
    <mergeCell ref="A35:H35"/>
    <mergeCell ref="A36:H36"/>
    <mergeCell ref="A37:I37"/>
    <mergeCell ref="A38:H38"/>
    <mergeCell ref="A27:H27"/>
    <mergeCell ref="A16:H16"/>
    <mergeCell ref="A17:H17"/>
    <mergeCell ref="A18:H18"/>
    <mergeCell ref="A19:H19"/>
    <mergeCell ref="A20:H20"/>
    <mergeCell ref="A21:H21"/>
    <mergeCell ref="A22:H22"/>
    <mergeCell ref="A23:H23"/>
    <mergeCell ref="A24:I24"/>
    <mergeCell ref="A25:H25"/>
    <mergeCell ref="A26:H26"/>
    <mergeCell ref="K4:O6"/>
    <mergeCell ref="A15:H15"/>
    <mergeCell ref="A1:I1"/>
    <mergeCell ref="A3:I3"/>
    <mergeCell ref="A4:H4"/>
    <mergeCell ref="A5:H5"/>
    <mergeCell ref="A6:H6"/>
    <mergeCell ref="A7:I7"/>
    <mergeCell ref="A8:I8"/>
    <mergeCell ref="A9:H9"/>
    <mergeCell ref="A12:H12"/>
    <mergeCell ref="A13:H13"/>
    <mergeCell ref="A14:H14"/>
    <mergeCell ref="A10:H10"/>
    <mergeCell ref="A11:H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U82"/>
  <sheetViews>
    <sheetView workbookViewId="0">
      <selection activeCell="T2" sqref="T1:T1048576"/>
    </sheetView>
  </sheetViews>
  <sheetFormatPr defaultRowHeight="15" x14ac:dyDescent="0.25"/>
  <cols>
    <col min="1" max="8" width="8.42578125" style="131" customWidth="1"/>
    <col min="9" max="9" width="9.5703125" style="132" bestFit="1" customWidth="1"/>
    <col min="10" max="10" width="5.5703125" style="131" bestFit="1" customWidth="1"/>
    <col min="12" max="19" width="8.42578125" style="237" customWidth="1"/>
    <col min="20" max="20" width="8.5703125" style="91" bestFit="1" customWidth="1"/>
    <col min="21" max="21" width="5.140625" style="237" bestFit="1" customWidth="1"/>
  </cols>
  <sheetData>
    <row r="1" spans="1:21" ht="30.75" thickBot="1" x14ac:dyDescent="0.3">
      <c r="A1" s="758" t="s">
        <v>3364</v>
      </c>
      <c r="B1" s="759"/>
      <c r="C1" s="759"/>
      <c r="D1" s="759"/>
      <c r="E1" s="759"/>
      <c r="F1" s="759"/>
      <c r="G1" s="759"/>
      <c r="H1" s="759"/>
      <c r="I1" s="760"/>
      <c r="L1" s="836" t="s">
        <v>3363</v>
      </c>
      <c r="M1" s="837"/>
      <c r="N1" s="837"/>
      <c r="O1" s="837"/>
      <c r="P1" s="837"/>
      <c r="Q1" s="837"/>
      <c r="R1" s="837"/>
      <c r="S1" s="837"/>
      <c r="T1" s="837"/>
      <c r="U1" s="838"/>
    </row>
    <row r="2" spans="1:21" ht="15.75" thickBot="1" x14ac:dyDescent="0.3"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spans="1:21" ht="18" thickBot="1" x14ac:dyDescent="0.3">
      <c r="A3" s="804" t="s">
        <v>541</v>
      </c>
      <c r="B3" s="805"/>
      <c r="C3" s="805"/>
      <c r="D3" s="805"/>
      <c r="E3" s="805"/>
      <c r="F3" s="805"/>
      <c r="G3" s="805"/>
      <c r="H3" s="805"/>
      <c r="I3" s="806"/>
      <c r="J3" s="133" t="s">
        <v>542</v>
      </c>
      <c r="K3" t="s">
        <v>3362</v>
      </c>
      <c r="L3" s="839" t="s">
        <v>541</v>
      </c>
      <c r="M3" s="840"/>
      <c r="N3" s="840"/>
      <c r="O3" s="840"/>
      <c r="P3" s="840"/>
      <c r="Q3" s="840"/>
      <c r="R3" s="840"/>
      <c r="S3" s="840"/>
      <c r="T3" s="841"/>
      <c r="U3" s="228" t="s">
        <v>5</v>
      </c>
    </row>
    <row r="4" spans="1:21" ht="30" customHeight="1" x14ac:dyDescent="0.25">
      <c r="A4" s="764" t="s">
        <v>543</v>
      </c>
      <c r="B4" s="765"/>
      <c r="C4" s="765"/>
      <c r="D4" s="765"/>
      <c r="E4" s="765"/>
      <c r="F4" s="765"/>
      <c r="G4" s="765"/>
      <c r="H4" s="765"/>
      <c r="I4" s="134">
        <f>0.6*I27</f>
        <v>578.08199999999999</v>
      </c>
      <c r="J4" s="131" t="s">
        <v>126</v>
      </c>
      <c r="K4" s="479">
        <f t="shared" ref="K4:K6" si="0">I4+T4</f>
        <v>951.05</v>
      </c>
      <c r="L4" s="829" t="s">
        <v>596</v>
      </c>
      <c r="M4" s="830"/>
      <c r="N4" s="830"/>
      <c r="O4" s="830"/>
      <c r="P4" s="830"/>
      <c r="Q4" s="830"/>
      <c r="R4" s="830"/>
      <c r="S4" s="830"/>
      <c r="T4" s="588">
        <f>T5*0.4</f>
        <v>372.96800000000002</v>
      </c>
      <c r="U4" s="229" t="s">
        <v>160</v>
      </c>
    </row>
    <row r="5" spans="1:21" ht="30" customHeight="1" x14ac:dyDescent="0.25">
      <c r="A5" s="756" t="s">
        <v>544</v>
      </c>
      <c r="B5" s="757"/>
      <c r="C5" s="757"/>
      <c r="D5" s="757"/>
      <c r="E5" s="757"/>
      <c r="F5" s="757"/>
      <c r="G5" s="757"/>
      <c r="H5" s="757"/>
      <c r="I5" s="135">
        <f>I27</f>
        <v>963.47</v>
      </c>
      <c r="J5" s="131" t="s">
        <v>72</v>
      </c>
      <c r="K5" s="479">
        <f t="shared" si="0"/>
        <v>1895.8899999999999</v>
      </c>
      <c r="L5" s="834" t="s">
        <v>1609</v>
      </c>
      <c r="M5" s="835"/>
      <c r="N5" s="835"/>
      <c r="O5" s="835"/>
      <c r="P5" s="835"/>
      <c r="Q5" s="835"/>
      <c r="R5" s="835"/>
      <c r="S5" s="835"/>
      <c r="T5" s="589">
        <f>T24</f>
        <v>932.42</v>
      </c>
      <c r="U5" s="229" t="s">
        <v>159</v>
      </c>
    </row>
    <row r="6" spans="1:21" ht="15.75" thickBot="1" x14ac:dyDescent="0.3">
      <c r="A6" s="796" t="s">
        <v>545</v>
      </c>
      <c r="B6" s="797"/>
      <c r="C6" s="797"/>
      <c r="D6" s="797"/>
      <c r="E6" s="797"/>
      <c r="F6" s="797"/>
      <c r="G6" s="797"/>
      <c r="H6" s="797"/>
      <c r="I6" s="136">
        <f>I4</f>
        <v>578.08199999999999</v>
      </c>
      <c r="J6" s="131" t="s">
        <v>126</v>
      </c>
      <c r="K6" s="479">
        <f t="shared" si="0"/>
        <v>951.05</v>
      </c>
      <c r="L6" s="842" t="s">
        <v>598</v>
      </c>
      <c r="M6" s="843"/>
      <c r="N6" s="843"/>
      <c r="O6" s="843"/>
      <c r="P6" s="843"/>
      <c r="Q6" s="843"/>
      <c r="R6" s="843"/>
      <c r="S6" s="843"/>
      <c r="T6" s="590">
        <f>T5*0.4</f>
        <v>372.96800000000002</v>
      </c>
      <c r="U6" s="230" t="s">
        <v>160</v>
      </c>
    </row>
    <row r="7" spans="1:21" ht="15.75" thickBot="1" x14ac:dyDescent="0.3">
      <c r="K7" s="132"/>
      <c r="L7" s="227"/>
      <c r="M7" s="227"/>
      <c r="N7" s="227"/>
      <c r="O7" s="227"/>
      <c r="P7" s="227"/>
      <c r="Q7" s="227"/>
      <c r="R7" s="227"/>
      <c r="S7" s="227"/>
      <c r="T7" s="227"/>
      <c r="U7" s="227"/>
    </row>
    <row r="8" spans="1:21" ht="18" thickBot="1" x14ac:dyDescent="0.3">
      <c r="A8" s="804" t="s">
        <v>546</v>
      </c>
      <c r="B8" s="805"/>
      <c r="C8" s="805"/>
      <c r="D8" s="805"/>
      <c r="E8" s="805"/>
      <c r="F8" s="805"/>
      <c r="G8" s="805"/>
      <c r="H8" s="805"/>
      <c r="I8" s="806"/>
      <c r="K8" s="132"/>
      <c r="L8" s="844" t="s">
        <v>546</v>
      </c>
      <c r="M8" s="845"/>
      <c r="N8" s="845"/>
      <c r="O8" s="845"/>
      <c r="P8" s="845"/>
      <c r="Q8" s="845"/>
      <c r="R8" s="845"/>
      <c r="S8" s="845"/>
      <c r="T8" s="846"/>
      <c r="U8" s="227"/>
    </row>
    <row r="9" spans="1:21" ht="18" thickBot="1" x14ac:dyDescent="0.3">
      <c r="A9" s="809" t="s">
        <v>547</v>
      </c>
      <c r="B9" s="810"/>
      <c r="C9" s="810"/>
      <c r="D9" s="810"/>
      <c r="E9" s="810"/>
      <c r="F9" s="810"/>
      <c r="G9" s="810"/>
      <c r="H9" s="810"/>
      <c r="I9" s="811"/>
      <c r="K9" s="132"/>
      <c r="L9" s="847" t="s">
        <v>547</v>
      </c>
      <c r="M9" s="848"/>
      <c r="N9" s="848"/>
      <c r="O9" s="848"/>
      <c r="P9" s="848"/>
      <c r="Q9" s="848"/>
      <c r="R9" s="848"/>
      <c r="S9" s="848"/>
      <c r="T9" s="849"/>
      <c r="U9" s="231" t="s">
        <v>5</v>
      </c>
    </row>
    <row r="10" spans="1:21" s="450" customFormat="1" ht="30" customHeight="1" thickBot="1" x14ac:dyDescent="0.3">
      <c r="A10" s="764" t="s">
        <v>2971</v>
      </c>
      <c r="B10" s="765"/>
      <c r="C10" s="765"/>
      <c r="D10" s="765"/>
      <c r="E10" s="765"/>
      <c r="F10" s="765"/>
      <c r="G10" s="765"/>
      <c r="H10" s="765"/>
      <c r="I10" s="134">
        <f>80*12</f>
        <v>960</v>
      </c>
      <c r="J10" s="450" t="s">
        <v>75</v>
      </c>
      <c r="K10" s="479">
        <f>I10+T10</f>
        <v>2016</v>
      </c>
      <c r="L10" s="764" t="s">
        <v>2971</v>
      </c>
      <c r="M10" s="765"/>
      <c r="N10" s="765"/>
      <c r="O10" s="765"/>
      <c r="P10" s="765"/>
      <c r="Q10" s="765"/>
      <c r="R10" s="765"/>
      <c r="S10" s="765"/>
      <c r="T10" s="134">
        <v>1056</v>
      </c>
      <c r="U10" s="232" t="s">
        <v>75</v>
      </c>
    </row>
    <row r="11" spans="1:21" s="450" customFormat="1" ht="30" customHeight="1" thickBot="1" x14ac:dyDescent="0.3">
      <c r="A11" s="714" t="s">
        <v>2972</v>
      </c>
      <c r="B11" s="715"/>
      <c r="C11" s="715"/>
      <c r="D11" s="715"/>
      <c r="E11" s="715"/>
      <c r="F11" s="715"/>
      <c r="G11" s="715"/>
      <c r="H11" s="715"/>
      <c r="I11" s="134">
        <v>616</v>
      </c>
      <c r="J11" s="450" t="s">
        <v>562</v>
      </c>
      <c r="K11" s="479">
        <f t="shared" ref="K11:K12" si="1">I11+T11</f>
        <v>1293.5999999999999</v>
      </c>
      <c r="L11" s="714" t="s">
        <v>2972</v>
      </c>
      <c r="M11" s="715"/>
      <c r="N11" s="715"/>
      <c r="O11" s="715"/>
      <c r="P11" s="715"/>
      <c r="Q11" s="715"/>
      <c r="R11" s="715"/>
      <c r="S11" s="715"/>
      <c r="T11" s="134">
        <v>677.6</v>
      </c>
      <c r="U11" s="232" t="s">
        <v>562</v>
      </c>
    </row>
    <row r="12" spans="1:21" s="450" customFormat="1" ht="30" customHeight="1" thickBot="1" x14ac:dyDescent="0.3">
      <c r="A12" s="714" t="s">
        <v>2973</v>
      </c>
      <c r="B12" s="715"/>
      <c r="C12" s="715"/>
      <c r="D12" s="715"/>
      <c r="E12" s="715"/>
      <c r="F12" s="715"/>
      <c r="G12" s="715"/>
      <c r="H12" s="715"/>
      <c r="I12" s="134">
        <v>1517</v>
      </c>
      <c r="J12" s="450" t="s">
        <v>562</v>
      </c>
      <c r="K12" s="479">
        <f t="shared" si="1"/>
        <v>3185.48</v>
      </c>
      <c r="L12" s="714" t="s">
        <v>2973</v>
      </c>
      <c r="M12" s="715"/>
      <c r="N12" s="715"/>
      <c r="O12" s="715"/>
      <c r="P12" s="715"/>
      <c r="Q12" s="715"/>
      <c r="R12" s="715"/>
      <c r="S12" s="715"/>
      <c r="T12" s="134">
        <v>1668.48</v>
      </c>
      <c r="U12" s="232" t="s">
        <v>562</v>
      </c>
    </row>
    <row r="13" spans="1:21" ht="30" customHeight="1" x14ac:dyDescent="0.25">
      <c r="A13" s="812" t="s">
        <v>2974</v>
      </c>
      <c r="B13" s="813"/>
      <c r="C13" s="813"/>
      <c r="D13" s="813"/>
      <c r="E13" s="813"/>
      <c r="F13" s="813"/>
      <c r="G13" s="813"/>
      <c r="H13" s="814"/>
      <c r="I13" s="134">
        <f>16*1*1*0.65+31*1.9*1*0.65+2*1.1*0.65</f>
        <v>50.115000000000002</v>
      </c>
      <c r="J13" s="450" t="s">
        <v>126</v>
      </c>
      <c r="K13" s="479">
        <f>I13+T13</f>
        <v>156.24</v>
      </c>
      <c r="L13" s="850" t="s">
        <v>2978</v>
      </c>
      <c r="M13" s="851"/>
      <c r="N13" s="851"/>
      <c r="O13" s="851"/>
      <c r="P13" s="851"/>
      <c r="Q13" s="851"/>
      <c r="R13" s="851"/>
      <c r="S13" s="852"/>
      <c r="T13" s="588">
        <f>26*(0.6+0.4)*(0.6+0.4)*(0.6+0.6+0.05)+31*(1.5+0.4)*(0.6+0.4)*(0.6+0.6+0.05)</f>
        <v>106.125</v>
      </c>
      <c r="U13" s="232" t="s">
        <v>160</v>
      </c>
    </row>
    <row r="14" spans="1:21" ht="30" customHeight="1" x14ac:dyDescent="0.25">
      <c r="A14" s="815" t="s">
        <v>548</v>
      </c>
      <c r="B14" s="816"/>
      <c r="C14" s="816"/>
      <c r="D14" s="816"/>
      <c r="E14" s="816"/>
      <c r="F14" s="816"/>
      <c r="G14" s="816"/>
      <c r="H14" s="817"/>
      <c r="I14" s="135">
        <v>105.95571428571428</v>
      </c>
      <c r="J14" s="450" t="s">
        <v>126</v>
      </c>
      <c r="K14" s="479">
        <f t="shared" ref="K14:K38" si="2">I14+T14</f>
        <v>204.31285714285713</v>
      </c>
      <c r="L14" s="831" t="s">
        <v>1610</v>
      </c>
      <c r="M14" s="832"/>
      <c r="N14" s="832"/>
      <c r="O14" s="832"/>
      <c r="P14" s="832"/>
      <c r="Q14" s="832"/>
      <c r="R14" s="832"/>
      <c r="S14" s="833"/>
      <c r="T14" s="589">
        <v>98.357142857142861</v>
      </c>
      <c r="U14" s="229" t="s">
        <v>160</v>
      </c>
    </row>
    <row r="15" spans="1:21" ht="30" customHeight="1" x14ac:dyDescent="0.25">
      <c r="A15" s="818" t="s">
        <v>549</v>
      </c>
      <c r="B15" s="819"/>
      <c r="C15" s="819"/>
      <c r="D15" s="819"/>
      <c r="E15" s="819"/>
      <c r="F15" s="819"/>
      <c r="G15" s="819"/>
      <c r="H15" s="820"/>
      <c r="I15" s="135">
        <f>16*1*1+31*1.9*1+2*1.1</f>
        <v>77.100000000000009</v>
      </c>
      <c r="J15" s="450" t="s">
        <v>72</v>
      </c>
      <c r="K15" s="479">
        <f t="shared" si="2"/>
        <v>162</v>
      </c>
      <c r="L15" s="831" t="s">
        <v>601</v>
      </c>
      <c r="M15" s="832"/>
      <c r="N15" s="832"/>
      <c r="O15" s="832"/>
      <c r="P15" s="832"/>
      <c r="Q15" s="832"/>
      <c r="R15" s="832"/>
      <c r="S15" s="833"/>
      <c r="T15" s="589">
        <v>84.9</v>
      </c>
      <c r="U15" s="229" t="s">
        <v>159</v>
      </c>
    </row>
    <row r="16" spans="1:21" x14ac:dyDescent="0.25">
      <c r="A16" s="756" t="s">
        <v>550</v>
      </c>
      <c r="B16" s="757"/>
      <c r="C16" s="757"/>
      <c r="D16" s="757"/>
      <c r="E16" s="757"/>
      <c r="F16" s="757"/>
      <c r="G16" s="757"/>
      <c r="H16" s="757"/>
      <c r="I16" s="135">
        <f>I14/0.6</f>
        <v>176.59285714285713</v>
      </c>
      <c r="J16" s="131" t="s">
        <v>72</v>
      </c>
      <c r="K16" s="479">
        <f t="shared" si="2"/>
        <v>340.5214285714286</v>
      </c>
      <c r="L16" s="834" t="s">
        <v>602</v>
      </c>
      <c r="M16" s="835"/>
      <c r="N16" s="835"/>
      <c r="O16" s="835"/>
      <c r="P16" s="835"/>
      <c r="Q16" s="835"/>
      <c r="R16" s="835"/>
      <c r="S16" s="835"/>
      <c r="T16" s="589">
        <v>163.92857142857144</v>
      </c>
      <c r="U16" s="229" t="s">
        <v>159</v>
      </c>
    </row>
    <row r="17" spans="1:21" x14ac:dyDescent="0.25">
      <c r="A17" s="714" t="s">
        <v>1607</v>
      </c>
      <c r="B17" s="715"/>
      <c r="C17" s="715"/>
      <c r="D17" s="715"/>
      <c r="E17" s="715"/>
      <c r="F17" s="715"/>
      <c r="G17" s="715"/>
      <c r="H17" s="715"/>
      <c r="I17" s="135">
        <f>I15</f>
        <v>77.100000000000009</v>
      </c>
      <c r="J17" s="131" t="s">
        <v>72</v>
      </c>
      <c r="K17" s="479">
        <f t="shared" si="2"/>
        <v>162</v>
      </c>
      <c r="L17" s="834" t="s">
        <v>1612</v>
      </c>
      <c r="M17" s="835"/>
      <c r="N17" s="835"/>
      <c r="O17" s="835"/>
      <c r="P17" s="835"/>
      <c r="Q17" s="835"/>
      <c r="R17" s="835"/>
      <c r="S17" s="835"/>
      <c r="T17" s="589">
        <f>T15</f>
        <v>84.9</v>
      </c>
      <c r="U17" s="229" t="s">
        <v>159</v>
      </c>
    </row>
    <row r="18" spans="1:21" ht="15" customHeight="1" x14ac:dyDescent="0.25">
      <c r="A18" s="807" t="s">
        <v>551</v>
      </c>
      <c r="B18" s="808"/>
      <c r="C18" s="808"/>
      <c r="D18" s="808"/>
      <c r="E18" s="808"/>
      <c r="F18" s="808"/>
      <c r="G18" s="808"/>
      <c r="H18" s="808"/>
      <c r="I18" s="586">
        <f>I16</f>
        <v>176.59285714285713</v>
      </c>
      <c r="J18" s="131" t="s">
        <v>72</v>
      </c>
      <c r="K18" s="479">
        <f t="shared" si="2"/>
        <v>340.5214285714286</v>
      </c>
      <c r="L18" s="834" t="s">
        <v>1613</v>
      </c>
      <c r="M18" s="835"/>
      <c r="N18" s="835"/>
      <c r="O18" s="835"/>
      <c r="P18" s="835"/>
      <c r="Q18" s="835"/>
      <c r="R18" s="835"/>
      <c r="S18" s="835"/>
      <c r="T18" s="589">
        <f>T16</f>
        <v>163.92857142857144</v>
      </c>
      <c r="U18" s="229" t="s">
        <v>159</v>
      </c>
    </row>
    <row r="19" spans="1:21" x14ac:dyDescent="0.25">
      <c r="A19" s="756" t="s">
        <v>552</v>
      </c>
      <c r="B19" s="757"/>
      <c r="C19" s="757"/>
      <c r="D19" s="757"/>
      <c r="E19" s="757"/>
      <c r="F19" s="757"/>
      <c r="G19" s="757"/>
      <c r="H19" s="757"/>
      <c r="I19" s="135">
        <f>I13-I33</f>
        <v>29.245000000000001</v>
      </c>
      <c r="J19" s="131" t="s">
        <v>126</v>
      </c>
      <c r="K19" s="479">
        <f t="shared" si="2"/>
        <v>29.245000000000001</v>
      </c>
      <c r="L19" s="829" t="s">
        <v>1611</v>
      </c>
      <c r="M19" s="830"/>
      <c r="N19" s="830"/>
      <c r="O19" s="830"/>
      <c r="P19" s="830"/>
      <c r="Q19" s="830"/>
      <c r="R19" s="830"/>
      <c r="S19" s="830"/>
      <c r="T19" s="588"/>
      <c r="U19" s="229" t="s">
        <v>160</v>
      </c>
    </row>
    <row r="20" spans="1:21" ht="30" customHeight="1" x14ac:dyDescent="0.25">
      <c r="A20" s="756" t="s">
        <v>553</v>
      </c>
      <c r="B20" s="757"/>
      <c r="C20" s="757"/>
      <c r="D20" s="757"/>
      <c r="E20" s="757"/>
      <c r="F20" s="757"/>
      <c r="G20" s="757"/>
      <c r="H20" s="757"/>
      <c r="I20" s="135">
        <f>I14-I41</f>
        <v>78.785714285714278</v>
      </c>
      <c r="J20" s="131" t="s">
        <v>126</v>
      </c>
      <c r="K20" s="479">
        <f t="shared" si="2"/>
        <v>233.01185714285714</v>
      </c>
      <c r="L20" s="829" t="s">
        <v>2979</v>
      </c>
      <c r="M20" s="830"/>
      <c r="N20" s="830"/>
      <c r="O20" s="830"/>
      <c r="P20" s="830"/>
      <c r="Q20" s="830"/>
      <c r="R20" s="830"/>
      <c r="S20" s="830"/>
      <c r="T20" s="588">
        <v>154.22614285714286</v>
      </c>
      <c r="U20" s="229" t="s">
        <v>160</v>
      </c>
    </row>
    <row r="21" spans="1:21" ht="30" customHeight="1" x14ac:dyDescent="0.25">
      <c r="A21" s="756" t="s">
        <v>554</v>
      </c>
      <c r="B21" s="757"/>
      <c r="C21" s="757"/>
      <c r="D21" s="757"/>
      <c r="E21" s="757"/>
      <c r="F21" s="757"/>
      <c r="G21" s="757"/>
      <c r="H21" s="757"/>
      <c r="I21" s="135">
        <f>I33*1.4</f>
        <v>29.218</v>
      </c>
      <c r="J21" s="131" t="s">
        <v>126</v>
      </c>
      <c r="K21" s="479">
        <f t="shared" si="2"/>
        <v>94.550799999999995</v>
      </c>
      <c r="L21" s="829" t="s">
        <v>2980</v>
      </c>
      <c r="M21" s="830"/>
      <c r="N21" s="830"/>
      <c r="O21" s="830"/>
      <c r="P21" s="830"/>
      <c r="Q21" s="830"/>
      <c r="R21" s="830"/>
      <c r="S21" s="830"/>
      <c r="T21" s="588">
        <v>65.332799999999992</v>
      </c>
      <c r="U21" s="229" t="s">
        <v>160</v>
      </c>
    </row>
    <row r="22" spans="1:21" ht="30" customHeight="1" x14ac:dyDescent="0.25">
      <c r="A22" s="756" t="s">
        <v>555</v>
      </c>
      <c r="B22" s="757"/>
      <c r="C22" s="757"/>
      <c r="D22" s="757"/>
      <c r="E22" s="757"/>
      <c r="F22" s="757"/>
      <c r="G22" s="757"/>
      <c r="H22" s="757"/>
      <c r="I22" s="135">
        <v>38.457999999999998</v>
      </c>
      <c r="J22" s="131" t="s">
        <v>126</v>
      </c>
      <c r="K22" s="479">
        <f t="shared" si="2"/>
        <v>38.457999999999998</v>
      </c>
      <c r="L22" s="756" t="s">
        <v>555</v>
      </c>
      <c r="M22" s="757"/>
      <c r="N22" s="757"/>
      <c r="O22" s="757"/>
      <c r="P22" s="757"/>
      <c r="Q22" s="757"/>
      <c r="R22" s="757"/>
      <c r="S22" s="757"/>
      <c r="T22" s="588"/>
      <c r="U22" s="229" t="s">
        <v>160</v>
      </c>
    </row>
    <row r="23" spans="1:21" ht="30" customHeight="1" x14ac:dyDescent="0.25">
      <c r="A23" s="756" t="s">
        <v>556</v>
      </c>
      <c r="B23" s="757"/>
      <c r="C23" s="757"/>
      <c r="D23" s="757"/>
      <c r="E23" s="757"/>
      <c r="F23" s="757"/>
      <c r="G23" s="757"/>
      <c r="H23" s="757"/>
      <c r="I23" s="135">
        <v>442.43</v>
      </c>
      <c r="J23" s="131" t="s">
        <v>72</v>
      </c>
      <c r="K23" s="479">
        <f t="shared" si="2"/>
        <v>858.93000000000006</v>
      </c>
      <c r="L23" s="834" t="s">
        <v>605</v>
      </c>
      <c r="M23" s="835"/>
      <c r="N23" s="835"/>
      <c r="O23" s="835"/>
      <c r="P23" s="835"/>
      <c r="Q23" s="835"/>
      <c r="R23" s="835"/>
      <c r="S23" s="835"/>
      <c r="T23" s="591">
        <v>416.5</v>
      </c>
      <c r="U23" s="229" t="s">
        <v>159</v>
      </c>
    </row>
    <row r="24" spans="1:21" ht="15.75" thickBot="1" x14ac:dyDescent="0.3">
      <c r="A24" s="716" t="s">
        <v>558</v>
      </c>
      <c r="B24" s="717"/>
      <c r="C24" s="717"/>
      <c r="D24" s="717"/>
      <c r="E24" s="717"/>
      <c r="F24" s="717"/>
      <c r="G24" s="717"/>
      <c r="H24" s="717"/>
      <c r="I24" s="136">
        <v>963.47</v>
      </c>
      <c r="J24" s="131" t="s">
        <v>72</v>
      </c>
      <c r="K24" s="479">
        <f t="shared" si="2"/>
        <v>1895.8899999999999</v>
      </c>
      <c r="L24" s="853" t="s">
        <v>607</v>
      </c>
      <c r="M24" s="854"/>
      <c r="N24" s="854"/>
      <c r="O24" s="854"/>
      <c r="P24" s="854"/>
      <c r="Q24" s="854"/>
      <c r="R24" s="854"/>
      <c r="S24" s="855"/>
      <c r="T24" s="592">
        <v>932.42</v>
      </c>
      <c r="U24" s="230" t="s">
        <v>159</v>
      </c>
    </row>
    <row r="25" spans="1:21" ht="18" thickBot="1" x14ac:dyDescent="0.3">
      <c r="A25" s="801" t="s">
        <v>153</v>
      </c>
      <c r="B25" s="802"/>
      <c r="C25" s="802"/>
      <c r="D25" s="802"/>
      <c r="E25" s="802"/>
      <c r="F25" s="802"/>
      <c r="G25" s="802"/>
      <c r="H25" s="802"/>
      <c r="I25" s="803"/>
      <c r="K25" s="480"/>
      <c r="L25" s="847" t="s">
        <v>153</v>
      </c>
      <c r="M25" s="848"/>
      <c r="N25" s="848"/>
      <c r="O25" s="848"/>
      <c r="P25" s="848"/>
      <c r="Q25" s="848"/>
      <c r="R25" s="848"/>
      <c r="S25" s="848"/>
      <c r="T25" s="849"/>
      <c r="U25" s="233" t="s">
        <v>5</v>
      </c>
    </row>
    <row r="26" spans="1:21" ht="30" customHeight="1" x14ac:dyDescent="0.25">
      <c r="A26" s="756" t="s">
        <v>560</v>
      </c>
      <c r="B26" s="757"/>
      <c r="C26" s="757"/>
      <c r="D26" s="757"/>
      <c r="E26" s="757"/>
      <c r="F26" s="757"/>
      <c r="G26" s="757"/>
      <c r="H26" s="757"/>
      <c r="I26" s="135">
        <f>I27*0.05</f>
        <v>48.173500000000004</v>
      </c>
      <c r="J26" s="131" t="s">
        <v>126</v>
      </c>
      <c r="K26" s="479">
        <f t="shared" si="2"/>
        <v>980.59349999999995</v>
      </c>
      <c r="L26" s="834" t="s">
        <v>1614</v>
      </c>
      <c r="M26" s="835"/>
      <c r="N26" s="835"/>
      <c r="O26" s="835"/>
      <c r="P26" s="835"/>
      <c r="Q26" s="835"/>
      <c r="R26" s="835"/>
      <c r="S26" s="835"/>
      <c r="T26" s="589">
        <f>T24</f>
        <v>932.42</v>
      </c>
      <c r="U26" s="229" t="s">
        <v>160</v>
      </c>
    </row>
    <row r="27" spans="1:21" x14ac:dyDescent="0.25">
      <c r="A27" s="714" t="s">
        <v>557</v>
      </c>
      <c r="B27" s="715"/>
      <c r="C27" s="715"/>
      <c r="D27" s="715"/>
      <c r="E27" s="715"/>
      <c r="F27" s="715"/>
      <c r="G27" s="715"/>
      <c r="H27" s="715"/>
      <c r="I27" s="135">
        <f>I24</f>
        <v>963.47</v>
      </c>
      <c r="J27" s="131" t="s">
        <v>72</v>
      </c>
      <c r="K27" s="479">
        <f t="shared" si="2"/>
        <v>1895.8899999999999</v>
      </c>
      <c r="L27" s="834" t="s">
        <v>1615</v>
      </c>
      <c r="M27" s="835"/>
      <c r="N27" s="835"/>
      <c r="O27" s="835"/>
      <c r="P27" s="835"/>
      <c r="Q27" s="835"/>
      <c r="R27" s="835"/>
      <c r="S27" s="835"/>
      <c r="T27" s="589">
        <f>T24</f>
        <v>932.42</v>
      </c>
      <c r="U27" s="229" t="s">
        <v>159</v>
      </c>
    </row>
    <row r="28" spans="1:21" x14ac:dyDescent="0.25">
      <c r="A28" s="714" t="s">
        <v>559</v>
      </c>
      <c r="B28" s="715"/>
      <c r="C28" s="715"/>
      <c r="D28" s="715"/>
      <c r="E28" s="715"/>
      <c r="F28" s="715"/>
      <c r="G28" s="715"/>
      <c r="H28" s="715"/>
      <c r="I28" s="135">
        <f>I24*0.07</f>
        <v>67.442900000000009</v>
      </c>
      <c r="J28" s="131" t="s">
        <v>126</v>
      </c>
      <c r="K28" s="479">
        <f t="shared" si="2"/>
        <v>132.71230000000003</v>
      </c>
      <c r="L28" s="834" t="s">
        <v>608</v>
      </c>
      <c r="M28" s="835"/>
      <c r="N28" s="835"/>
      <c r="O28" s="835"/>
      <c r="P28" s="835"/>
      <c r="Q28" s="835"/>
      <c r="R28" s="835"/>
      <c r="S28" s="835"/>
      <c r="T28" s="589">
        <f>T24*0.07</f>
        <v>65.269400000000005</v>
      </c>
      <c r="U28" s="229" t="s">
        <v>160</v>
      </c>
    </row>
    <row r="29" spans="1:21" x14ac:dyDescent="0.25">
      <c r="A29" s="714" t="s">
        <v>561</v>
      </c>
      <c r="B29" s="715"/>
      <c r="C29" s="715"/>
      <c r="D29" s="715"/>
      <c r="E29" s="715"/>
      <c r="F29" s="715"/>
      <c r="G29" s="715"/>
      <c r="H29" s="715"/>
      <c r="I29" s="135">
        <f>I28</f>
        <v>67.442900000000009</v>
      </c>
      <c r="J29" s="131" t="s">
        <v>126</v>
      </c>
      <c r="K29" s="479">
        <f t="shared" si="2"/>
        <v>132.71230000000003</v>
      </c>
      <c r="L29" s="834" t="s">
        <v>609</v>
      </c>
      <c r="M29" s="835"/>
      <c r="N29" s="835"/>
      <c r="O29" s="835"/>
      <c r="P29" s="835"/>
      <c r="Q29" s="835"/>
      <c r="R29" s="835"/>
      <c r="S29" s="835"/>
      <c r="T29" s="589">
        <f>T28</f>
        <v>65.269400000000005</v>
      </c>
      <c r="U29" s="229" t="s">
        <v>160</v>
      </c>
    </row>
    <row r="30" spans="1:21" ht="15.75" thickBot="1" x14ac:dyDescent="0.3">
      <c r="A30" s="796" t="s">
        <v>1608</v>
      </c>
      <c r="B30" s="797"/>
      <c r="C30" s="797"/>
      <c r="D30" s="797"/>
      <c r="E30" s="797"/>
      <c r="F30" s="797"/>
      <c r="G30" s="797"/>
      <c r="H30" s="797"/>
      <c r="I30" s="136">
        <f>I24*1.2</f>
        <v>1156.164</v>
      </c>
      <c r="J30" s="131" t="s">
        <v>72</v>
      </c>
      <c r="K30" s="479">
        <f t="shared" si="2"/>
        <v>2275.0680000000002</v>
      </c>
      <c r="L30" s="834" t="s">
        <v>814</v>
      </c>
      <c r="M30" s="835"/>
      <c r="N30" s="835"/>
      <c r="O30" s="835"/>
      <c r="P30" s="835"/>
      <c r="Q30" s="835"/>
      <c r="R30" s="835"/>
      <c r="S30" s="835"/>
      <c r="T30" s="589">
        <f>T24*1.2</f>
        <v>1118.904</v>
      </c>
      <c r="U30" s="229" t="s">
        <v>159</v>
      </c>
    </row>
    <row r="31" spans="1:21" ht="18" thickBot="1" x14ac:dyDescent="0.3">
      <c r="A31" s="798" t="s">
        <v>2975</v>
      </c>
      <c r="B31" s="799"/>
      <c r="C31" s="799"/>
      <c r="D31" s="799"/>
      <c r="E31" s="799"/>
      <c r="F31" s="799"/>
      <c r="G31" s="799"/>
      <c r="H31" s="799"/>
      <c r="I31" s="800"/>
      <c r="K31" s="480"/>
      <c r="L31" s="847" t="s">
        <v>2981</v>
      </c>
      <c r="M31" s="848"/>
      <c r="N31" s="848"/>
      <c r="O31" s="848"/>
      <c r="P31" s="848"/>
      <c r="Q31" s="848"/>
      <c r="R31" s="848"/>
      <c r="S31" s="848"/>
      <c r="T31" s="849"/>
      <c r="U31" s="234" t="s">
        <v>5</v>
      </c>
    </row>
    <row r="32" spans="1:21" x14ac:dyDescent="0.25">
      <c r="A32" s="723" t="s">
        <v>151</v>
      </c>
      <c r="B32" s="724"/>
      <c r="C32" s="724"/>
      <c r="D32" s="724"/>
      <c r="E32" s="724"/>
      <c r="F32" s="724"/>
      <c r="G32" s="724"/>
      <c r="H32" s="724"/>
      <c r="I32" s="134">
        <v>103.92</v>
      </c>
      <c r="J32" s="131" t="s">
        <v>72</v>
      </c>
      <c r="K32" s="479">
        <f t="shared" si="2"/>
        <v>219.48000000000002</v>
      </c>
      <c r="L32" s="829" t="s">
        <v>610</v>
      </c>
      <c r="M32" s="830"/>
      <c r="N32" s="830"/>
      <c r="O32" s="830"/>
      <c r="P32" s="830"/>
      <c r="Q32" s="830"/>
      <c r="R32" s="830"/>
      <c r="S32" s="830"/>
      <c r="T32" s="588">
        <f>31*(1.5+1.5+0.6+0.6)*0.6+26*(0.6+0.6+0.6+0.6)*0.6</f>
        <v>115.56</v>
      </c>
      <c r="U32" s="232" t="s">
        <v>159</v>
      </c>
    </row>
    <row r="33" spans="1:21" x14ac:dyDescent="0.25">
      <c r="A33" s="714" t="s">
        <v>564</v>
      </c>
      <c r="B33" s="715"/>
      <c r="C33" s="715"/>
      <c r="D33" s="715"/>
      <c r="E33" s="715"/>
      <c r="F33" s="715"/>
      <c r="G33" s="715"/>
      <c r="H33" s="715"/>
      <c r="I33" s="135">
        <v>20.87</v>
      </c>
      <c r="J33" s="131" t="s">
        <v>126</v>
      </c>
      <c r="K33" s="479">
        <f t="shared" si="2"/>
        <v>43.225999999999999</v>
      </c>
      <c r="L33" s="834" t="s">
        <v>611</v>
      </c>
      <c r="M33" s="835"/>
      <c r="N33" s="835"/>
      <c r="O33" s="835"/>
      <c r="P33" s="835"/>
      <c r="Q33" s="835"/>
      <c r="R33" s="835"/>
      <c r="S33" s="835"/>
      <c r="T33" s="589">
        <f>31*1.5*0.6*0.6+26*0.6*0.6*0.6</f>
        <v>22.355999999999998</v>
      </c>
      <c r="U33" s="229" t="s">
        <v>160</v>
      </c>
    </row>
    <row r="34" spans="1:21" x14ac:dyDescent="0.25">
      <c r="A34" s="714" t="s">
        <v>561</v>
      </c>
      <c r="B34" s="715"/>
      <c r="C34" s="715"/>
      <c r="D34" s="715"/>
      <c r="E34" s="715"/>
      <c r="F34" s="715"/>
      <c r="G34" s="715"/>
      <c r="H34" s="715"/>
      <c r="I34" s="135">
        <f>I33</f>
        <v>20.87</v>
      </c>
      <c r="J34" s="131" t="s">
        <v>126</v>
      </c>
      <c r="K34" s="479">
        <f t="shared" si="2"/>
        <v>43.225999999999999</v>
      </c>
      <c r="L34" s="834" t="s">
        <v>609</v>
      </c>
      <c r="M34" s="835"/>
      <c r="N34" s="835"/>
      <c r="O34" s="835"/>
      <c r="P34" s="835"/>
      <c r="Q34" s="835"/>
      <c r="R34" s="835"/>
      <c r="S34" s="835"/>
      <c r="T34" s="589">
        <f>T33</f>
        <v>22.355999999999998</v>
      </c>
      <c r="U34" s="229" t="s">
        <v>160</v>
      </c>
    </row>
    <row r="35" spans="1:21" s="450" customFormat="1" x14ac:dyDescent="0.25">
      <c r="A35" s="714" t="s">
        <v>2976</v>
      </c>
      <c r="B35" s="715"/>
      <c r="C35" s="715"/>
      <c r="D35" s="715"/>
      <c r="E35" s="715"/>
      <c r="F35" s="715"/>
      <c r="G35" s="715"/>
      <c r="H35" s="715"/>
      <c r="I35" s="135">
        <v>351</v>
      </c>
      <c r="J35" s="450" t="s">
        <v>562</v>
      </c>
      <c r="K35" s="479">
        <f t="shared" si="2"/>
        <v>679</v>
      </c>
      <c r="L35" s="714" t="s">
        <v>2976</v>
      </c>
      <c r="M35" s="715"/>
      <c r="N35" s="715"/>
      <c r="O35" s="715"/>
      <c r="P35" s="715"/>
      <c r="Q35" s="715"/>
      <c r="R35" s="715"/>
      <c r="S35" s="715"/>
      <c r="T35" s="589">
        <v>328</v>
      </c>
      <c r="U35" s="229" t="s">
        <v>92</v>
      </c>
    </row>
    <row r="36" spans="1:21" s="450" customFormat="1" x14ac:dyDescent="0.25">
      <c r="A36" s="714" t="s">
        <v>2977</v>
      </c>
      <c r="B36" s="715"/>
      <c r="C36" s="715"/>
      <c r="D36" s="715"/>
      <c r="E36" s="715"/>
      <c r="F36" s="715"/>
      <c r="G36" s="715"/>
      <c r="H36" s="715"/>
      <c r="I36" s="135">
        <v>81</v>
      </c>
      <c r="J36" s="450" t="s">
        <v>562</v>
      </c>
      <c r="K36" s="479">
        <f t="shared" si="2"/>
        <v>81</v>
      </c>
      <c r="L36" s="714" t="s">
        <v>2977</v>
      </c>
      <c r="M36" s="715"/>
      <c r="N36" s="715"/>
      <c r="O36" s="715"/>
      <c r="P36" s="715"/>
      <c r="Q36" s="715"/>
      <c r="R36" s="715"/>
      <c r="S36" s="715"/>
      <c r="T36" s="589"/>
      <c r="U36" s="229" t="s">
        <v>92</v>
      </c>
    </row>
    <row r="37" spans="1:21" x14ac:dyDescent="0.25">
      <c r="A37" s="714" t="s">
        <v>565</v>
      </c>
      <c r="B37" s="715"/>
      <c r="C37" s="715"/>
      <c r="D37" s="715"/>
      <c r="E37" s="715"/>
      <c r="F37" s="715"/>
      <c r="G37" s="715"/>
      <c r="H37" s="715"/>
      <c r="I37" s="135">
        <v>326</v>
      </c>
      <c r="J37" s="131" t="s">
        <v>562</v>
      </c>
      <c r="K37" s="479">
        <f t="shared" si="2"/>
        <v>712</v>
      </c>
      <c r="L37" s="834" t="s">
        <v>613</v>
      </c>
      <c r="M37" s="835"/>
      <c r="N37" s="835"/>
      <c r="O37" s="835"/>
      <c r="P37" s="835"/>
      <c r="Q37" s="835"/>
      <c r="R37" s="835"/>
      <c r="S37" s="835"/>
      <c r="T37" s="589">
        <v>386</v>
      </c>
      <c r="U37" s="229" t="s">
        <v>92</v>
      </c>
    </row>
    <row r="38" spans="1:21" ht="15.75" thickBot="1" x14ac:dyDescent="0.3">
      <c r="A38" s="821"/>
      <c r="B38" s="822"/>
      <c r="C38" s="822"/>
      <c r="D38" s="822"/>
      <c r="E38" s="822"/>
      <c r="F38" s="822"/>
      <c r="G38" s="822"/>
      <c r="H38" s="823"/>
      <c r="I38" s="238"/>
      <c r="K38" s="479">
        <f t="shared" si="2"/>
        <v>249</v>
      </c>
      <c r="L38" s="834" t="s">
        <v>1604</v>
      </c>
      <c r="M38" s="835"/>
      <c r="N38" s="835"/>
      <c r="O38" s="835"/>
      <c r="P38" s="835"/>
      <c r="Q38" s="835"/>
      <c r="R38" s="835"/>
      <c r="S38" s="835"/>
      <c r="T38" s="589">
        <v>249</v>
      </c>
      <c r="U38" s="229"/>
    </row>
    <row r="39" spans="1:21" ht="18" thickBot="1" x14ac:dyDescent="0.3">
      <c r="A39" s="809" t="s">
        <v>567</v>
      </c>
      <c r="B39" s="810"/>
      <c r="C39" s="810"/>
      <c r="D39" s="810"/>
      <c r="E39" s="810"/>
      <c r="F39" s="810"/>
      <c r="G39" s="810"/>
      <c r="H39" s="810"/>
      <c r="I39" s="811"/>
      <c r="K39" s="480"/>
      <c r="L39" s="847" t="s">
        <v>567</v>
      </c>
      <c r="M39" s="848"/>
      <c r="N39" s="848"/>
      <c r="O39" s="848"/>
      <c r="P39" s="848"/>
      <c r="Q39" s="848"/>
      <c r="R39" s="848"/>
      <c r="S39" s="848"/>
      <c r="T39" s="849"/>
      <c r="U39" s="234" t="s">
        <v>5</v>
      </c>
    </row>
    <row r="40" spans="1:21" x14ac:dyDescent="0.25">
      <c r="A40" s="723" t="s">
        <v>151</v>
      </c>
      <c r="B40" s="724"/>
      <c r="C40" s="724"/>
      <c r="D40" s="724"/>
      <c r="E40" s="724"/>
      <c r="F40" s="724"/>
      <c r="G40" s="724"/>
      <c r="H40" s="724"/>
      <c r="I40" s="134">
        <v>437.47</v>
      </c>
      <c r="J40" s="131" t="s">
        <v>72</v>
      </c>
      <c r="K40" s="479">
        <f t="shared" ref="K40:K54" si="3">I40+T40</f>
        <v>853.97</v>
      </c>
      <c r="L40" s="829" t="s">
        <v>615</v>
      </c>
      <c r="M40" s="830"/>
      <c r="N40" s="830"/>
      <c r="O40" s="830"/>
      <c r="P40" s="830"/>
      <c r="Q40" s="830"/>
      <c r="R40" s="830"/>
      <c r="S40" s="830"/>
      <c r="T40" s="588">
        <v>416.5</v>
      </c>
      <c r="U40" s="232" t="s">
        <v>159</v>
      </c>
    </row>
    <row r="41" spans="1:21" x14ac:dyDescent="0.25">
      <c r="A41" s="714" t="s">
        <v>564</v>
      </c>
      <c r="B41" s="715"/>
      <c r="C41" s="715"/>
      <c r="D41" s="715"/>
      <c r="E41" s="715"/>
      <c r="F41" s="715"/>
      <c r="G41" s="715"/>
      <c r="H41" s="715"/>
      <c r="I41" s="135">
        <v>27.17</v>
      </c>
      <c r="J41" s="131" t="s">
        <v>126</v>
      </c>
      <c r="K41" s="479">
        <f t="shared" si="3"/>
        <v>52.77</v>
      </c>
      <c r="L41" s="834" t="s">
        <v>611</v>
      </c>
      <c r="M41" s="835"/>
      <c r="N41" s="835"/>
      <c r="O41" s="835"/>
      <c r="P41" s="835"/>
      <c r="Q41" s="835"/>
      <c r="R41" s="835"/>
      <c r="S41" s="835"/>
      <c r="T41" s="589">
        <v>25.6</v>
      </c>
      <c r="U41" s="229" t="s">
        <v>160</v>
      </c>
    </row>
    <row r="42" spans="1:21" x14ac:dyDescent="0.25">
      <c r="A42" s="714" t="s">
        <v>561</v>
      </c>
      <c r="B42" s="715"/>
      <c r="C42" s="715"/>
      <c r="D42" s="715"/>
      <c r="E42" s="715"/>
      <c r="F42" s="715"/>
      <c r="G42" s="715"/>
      <c r="H42" s="715"/>
      <c r="I42" s="135">
        <f>I41</f>
        <v>27.17</v>
      </c>
      <c r="J42" s="131" t="s">
        <v>126</v>
      </c>
      <c r="K42" s="479">
        <f t="shared" si="3"/>
        <v>52.77</v>
      </c>
      <c r="L42" s="834" t="s">
        <v>609</v>
      </c>
      <c r="M42" s="835"/>
      <c r="N42" s="835"/>
      <c r="O42" s="835"/>
      <c r="P42" s="835"/>
      <c r="Q42" s="835"/>
      <c r="R42" s="835"/>
      <c r="S42" s="835"/>
      <c r="T42" s="589">
        <f>T41</f>
        <v>25.6</v>
      </c>
      <c r="U42" s="229" t="s">
        <v>160</v>
      </c>
    </row>
    <row r="43" spans="1:21" x14ac:dyDescent="0.25">
      <c r="A43" s="714" t="s">
        <v>568</v>
      </c>
      <c r="B43" s="715"/>
      <c r="C43" s="715"/>
      <c r="D43" s="715"/>
      <c r="E43" s="715"/>
      <c r="F43" s="715"/>
      <c r="G43" s="715"/>
      <c r="H43" s="715"/>
      <c r="I43" s="135">
        <f>161+104+81</f>
        <v>346</v>
      </c>
      <c r="J43" s="131" t="s">
        <v>562</v>
      </c>
      <c r="K43" s="479">
        <f t="shared" si="3"/>
        <v>695</v>
      </c>
      <c r="L43" s="831" t="s">
        <v>612</v>
      </c>
      <c r="M43" s="832"/>
      <c r="N43" s="832"/>
      <c r="O43" s="832"/>
      <c r="P43" s="832"/>
      <c r="Q43" s="832"/>
      <c r="R43" s="832"/>
      <c r="S43" s="833"/>
      <c r="T43" s="589">
        <v>349</v>
      </c>
      <c r="U43" s="229" t="s">
        <v>92</v>
      </c>
    </row>
    <row r="44" spans="1:21" x14ac:dyDescent="0.25">
      <c r="A44" s="714" t="s">
        <v>569</v>
      </c>
      <c r="B44" s="715"/>
      <c r="C44" s="715"/>
      <c r="D44" s="715"/>
      <c r="E44" s="715"/>
      <c r="F44" s="715"/>
      <c r="G44" s="715"/>
      <c r="H44" s="715"/>
      <c r="I44" s="135">
        <f>226+130+68</f>
        <v>424</v>
      </c>
      <c r="J44" s="131" t="s">
        <v>562</v>
      </c>
      <c r="K44" s="479">
        <f t="shared" si="3"/>
        <v>704</v>
      </c>
      <c r="L44" s="831" t="s">
        <v>1616</v>
      </c>
      <c r="M44" s="832"/>
      <c r="N44" s="832"/>
      <c r="O44" s="832"/>
      <c r="P44" s="832"/>
      <c r="Q44" s="832"/>
      <c r="R44" s="832"/>
      <c r="S44" s="833"/>
      <c r="T44" s="589">
        <v>280</v>
      </c>
      <c r="U44" s="229" t="s">
        <v>92</v>
      </c>
    </row>
    <row r="45" spans="1:21" x14ac:dyDescent="0.25">
      <c r="A45" s="714" t="s">
        <v>570</v>
      </c>
      <c r="B45" s="715"/>
      <c r="C45" s="715"/>
      <c r="D45" s="715"/>
      <c r="E45" s="715"/>
      <c r="F45" s="715"/>
      <c r="G45" s="715"/>
      <c r="H45" s="715"/>
      <c r="I45" s="135">
        <f>17+31+59</f>
        <v>107</v>
      </c>
      <c r="J45" s="131" t="s">
        <v>562</v>
      </c>
      <c r="K45" s="479">
        <f t="shared" si="3"/>
        <v>314</v>
      </c>
      <c r="L45" s="834" t="s">
        <v>617</v>
      </c>
      <c r="M45" s="835"/>
      <c r="N45" s="835"/>
      <c r="O45" s="835"/>
      <c r="P45" s="835"/>
      <c r="Q45" s="835"/>
      <c r="R45" s="835"/>
      <c r="S45" s="835"/>
      <c r="T45" s="589">
        <v>207</v>
      </c>
      <c r="U45" s="229" t="s">
        <v>92</v>
      </c>
    </row>
    <row r="46" spans="1:21" ht="15.75" thickBot="1" x14ac:dyDescent="0.3">
      <c r="A46" s="714" t="s">
        <v>565</v>
      </c>
      <c r="B46" s="715"/>
      <c r="C46" s="715"/>
      <c r="D46" s="715"/>
      <c r="E46" s="715"/>
      <c r="F46" s="715"/>
      <c r="G46" s="715"/>
      <c r="H46" s="715"/>
      <c r="I46" s="135">
        <f>339+229+127</f>
        <v>695</v>
      </c>
      <c r="J46" s="131" t="s">
        <v>562</v>
      </c>
      <c r="K46" s="479">
        <f t="shared" si="3"/>
        <v>1329</v>
      </c>
      <c r="L46" s="842" t="s">
        <v>613</v>
      </c>
      <c r="M46" s="843"/>
      <c r="N46" s="843"/>
      <c r="O46" s="843"/>
      <c r="P46" s="843"/>
      <c r="Q46" s="843"/>
      <c r="R46" s="843"/>
      <c r="S46" s="843"/>
      <c r="T46" s="590">
        <v>634</v>
      </c>
      <c r="U46" s="230" t="s">
        <v>92</v>
      </c>
    </row>
    <row r="47" spans="1:21" ht="18" thickBot="1" x14ac:dyDescent="0.3">
      <c r="A47" s="239"/>
      <c r="B47" s="239"/>
      <c r="C47" s="239"/>
      <c r="D47" s="239"/>
      <c r="E47" s="239"/>
      <c r="F47" s="239"/>
      <c r="G47" s="239"/>
      <c r="H47" s="239"/>
      <c r="I47" s="240"/>
      <c r="K47" s="480"/>
      <c r="L47" s="847" t="s">
        <v>1617</v>
      </c>
      <c r="M47" s="848"/>
      <c r="N47" s="848"/>
      <c r="O47" s="848"/>
      <c r="P47" s="848"/>
      <c r="Q47" s="848"/>
      <c r="R47" s="848"/>
      <c r="S47" s="848"/>
      <c r="T47" s="849"/>
      <c r="U47" s="234" t="s">
        <v>5</v>
      </c>
    </row>
    <row r="48" spans="1:21" x14ac:dyDescent="0.25">
      <c r="A48" s="239"/>
      <c r="B48" s="239"/>
      <c r="C48" s="239"/>
      <c r="D48" s="239"/>
      <c r="E48" s="239"/>
      <c r="F48" s="239"/>
      <c r="G48" s="239"/>
      <c r="H48" s="239"/>
      <c r="I48" s="240"/>
      <c r="K48" s="479">
        <f t="shared" si="3"/>
        <v>37.9</v>
      </c>
      <c r="L48" s="829" t="s">
        <v>615</v>
      </c>
      <c r="M48" s="830"/>
      <c r="N48" s="830"/>
      <c r="O48" s="830"/>
      <c r="P48" s="830"/>
      <c r="Q48" s="830"/>
      <c r="R48" s="830"/>
      <c r="S48" s="830"/>
      <c r="T48" s="588">
        <v>37.9</v>
      </c>
      <c r="U48" s="232" t="s">
        <v>159</v>
      </c>
    </row>
    <row r="49" spans="1:21" x14ac:dyDescent="0.25">
      <c r="A49" s="239"/>
      <c r="B49" s="239"/>
      <c r="C49" s="239"/>
      <c r="D49" s="239"/>
      <c r="E49" s="239"/>
      <c r="F49" s="239"/>
      <c r="G49" s="239"/>
      <c r="H49" s="239"/>
      <c r="I49" s="240"/>
      <c r="K49" s="479">
        <f t="shared" si="3"/>
        <v>2.4</v>
      </c>
      <c r="L49" s="834" t="s">
        <v>611</v>
      </c>
      <c r="M49" s="835"/>
      <c r="N49" s="835"/>
      <c r="O49" s="835"/>
      <c r="P49" s="835"/>
      <c r="Q49" s="835"/>
      <c r="R49" s="835"/>
      <c r="S49" s="835"/>
      <c r="T49" s="589">
        <v>2.4</v>
      </c>
      <c r="U49" s="229" t="s">
        <v>160</v>
      </c>
    </row>
    <row r="50" spans="1:21" x14ac:dyDescent="0.25">
      <c r="A50" s="239"/>
      <c r="B50" s="239"/>
      <c r="C50" s="239"/>
      <c r="D50" s="239"/>
      <c r="E50" s="239"/>
      <c r="F50" s="239"/>
      <c r="G50" s="239"/>
      <c r="H50" s="239"/>
      <c r="I50" s="240"/>
      <c r="K50" s="479">
        <f t="shared" si="3"/>
        <v>2.4</v>
      </c>
      <c r="L50" s="834" t="s">
        <v>609</v>
      </c>
      <c r="M50" s="835"/>
      <c r="N50" s="835"/>
      <c r="O50" s="835"/>
      <c r="P50" s="835"/>
      <c r="Q50" s="835"/>
      <c r="R50" s="835"/>
      <c r="S50" s="835"/>
      <c r="T50" s="589">
        <f>T49</f>
        <v>2.4</v>
      </c>
      <c r="U50" s="229" t="s">
        <v>160</v>
      </c>
    </row>
    <row r="51" spans="1:21" x14ac:dyDescent="0.25">
      <c r="A51" s="239"/>
      <c r="B51" s="239"/>
      <c r="C51" s="239"/>
      <c r="D51" s="239"/>
      <c r="E51" s="239"/>
      <c r="F51" s="239"/>
      <c r="G51" s="239"/>
      <c r="H51" s="239"/>
      <c r="I51" s="240"/>
      <c r="K51" s="479">
        <f t="shared" si="3"/>
        <v>98</v>
      </c>
      <c r="L51" s="834" t="s">
        <v>1618</v>
      </c>
      <c r="M51" s="835"/>
      <c r="N51" s="835"/>
      <c r="O51" s="835"/>
      <c r="P51" s="835"/>
      <c r="Q51" s="835"/>
      <c r="R51" s="835"/>
      <c r="S51" s="835"/>
      <c r="T51" s="589">
        <v>98</v>
      </c>
      <c r="U51" s="229" t="s">
        <v>92</v>
      </c>
    </row>
    <row r="52" spans="1:21" x14ac:dyDescent="0.25">
      <c r="A52" s="239"/>
      <c r="B52" s="239"/>
      <c r="C52" s="239"/>
      <c r="D52" s="239"/>
      <c r="E52" s="239"/>
      <c r="F52" s="239"/>
      <c r="G52" s="239"/>
      <c r="H52" s="239"/>
      <c r="I52" s="240"/>
      <c r="K52" s="479">
        <f t="shared" si="3"/>
        <v>2</v>
      </c>
      <c r="L52" s="834" t="s">
        <v>617</v>
      </c>
      <c r="M52" s="835"/>
      <c r="N52" s="835"/>
      <c r="O52" s="835"/>
      <c r="P52" s="835"/>
      <c r="Q52" s="835"/>
      <c r="R52" s="835"/>
      <c r="S52" s="835"/>
      <c r="T52" s="589">
        <v>2</v>
      </c>
      <c r="U52" s="229" t="s">
        <v>92</v>
      </c>
    </row>
    <row r="53" spans="1:21" x14ac:dyDescent="0.25">
      <c r="A53" s="239"/>
      <c r="B53" s="239"/>
      <c r="C53" s="239"/>
      <c r="D53" s="239"/>
      <c r="E53" s="239"/>
      <c r="F53" s="239"/>
      <c r="G53" s="239"/>
      <c r="H53" s="239"/>
      <c r="I53" s="240"/>
      <c r="K53" s="479">
        <f t="shared" si="3"/>
        <v>265</v>
      </c>
      <c r="L53" s="834" t="s">
        <v>613</v>
      </c>
      <c r="M53" s="835"/>
      <c r="N53" s="835"/>
      <c r="O53" s="835"/>
      <c r="P53" s="835"/>
      <c r="Q53" s="835"/>
      <c r="R53" s="835"/>
      <c r="S53" s="835"/>
      <c r="T53" s="589">
        <v>265</v>
      </c>
      <c r="U53" s="229" t="s">
        <v>92</v>
      </c>
    </row>
    <row r="54" spans="1:21" x14ac:dyDescent="0.25">
      <c r="A54" s="239"/>
      <c r="B54" s="239"/>
      <c r="C54" s="239"/>
      <c r="D54" s="239"/>
      <c r="E54" s="239"/>
      <c r="F54" s="239"/>
      <c r="G54" s="239"/>
      <c r="H54" s="239"/>
      <c r="I54" s="240"/>
      <c r="K54" s="479">
        <f t="shared" si="3"/>
        <v>0</v>
      </c>
      <c r="L54" s="834" t="s">
        <v>618</v>
      </c>
      <c r="M54" s="835"/>
      <c r="N54" s="835"/>
      <c r="O54" s="835"/>
      <c r="P54" s="835"/>
      <c r="Q54" s="835"/>
      <c r="R54" s="835"/>
      <c r="S54" s="835"/>
      <c r="T54" s="589">
        <v>0</v>
      </c>
      <c r="U54" s="229" t="s">
        <v>92</v>
      </c>
    </row>
    <row r="55" spans="1:21" ht="15.75" thickBot="1" x14ac:dyDescent="0.3">
      <c r="A55" s="137"/>
      <c r="B55" s="137"/>
      <c r="C55" s="137"/>
      <c r="D55" s="137"/>
      <c r="E55" s="137"/>
      <c r="F55" s="137"/>
      <c r="G55" s="137"/>
      <c r="H55" s="137"/>
      <c r="L55" s="235"/>
      <c r="M55" s="235"/>
      <c r="N55" s="235"/>
      <c r="O55" s="235"/>
      <c r="P55" s="235"/>
      <c r="Q55" s="235"/>
      <c r="R55" s="235"/>
      <c r="S55" s="235"/>
      <c r="T55" s="227"/>
      <c r="U55" s="227"/>
    </row>
    <row r="56" spans="1:21" ht="18" thickBot="1" x14ac:dyDescent="0.3">
      <c r="A56" s="804" t="s">
        <v>572</v>
      </c>
      <c r="B56" s="805"/>
      <c r="C56" s="805"/>
      <c r="D56" s="805"/>
      <c r="E56" s="805"/>
      <c r="F56" s="805"/>
      <c r="G56" s="805"/>
      <c r="H56" s="805"/>
      <c r="I56" s="806"/>
      <c r="L56" s="839" t="s">
        <v>572</v>
      </c>
      <c r="M56" s="840"/>
      <c r="N56" s="840"/>
      <c r="O56" s="840"/>
      <c r="P56" s="840"/>
      <c r="Q56" s="840"/>
      <c r="R56" s="840"/>
      <c r="S56" s="840"/>
      <c r="T56" s="856"/>
      <c r="U56" s="227"/>
    </row>
    <row r="57" spans="1:21" ht="18" thickBot="1" x14ac:dyDescent="0.3">
      <c r="A57" s="809" t="s">
        <v>573</v>
      </c>
      <c r="B57" s="810"/>
      <c r="C57" s="810"/>
      <c r="D57" s="810"/>
      <c r="E57" s="810"/>
      <c r="F57" s="810"/>
      <c r="G57" s="810"/>
      <c r="H57" s="810"/>
      <c r="I57" s="811"/>
      <c r="L57" s="847" t="s">
        <v>573</v>
      </c>
      <c r="M57" s="848"/>
      <c r="N57" s="848"/>
      <c r="O57" s="848"/>
      <c r="P57" s="848"/>
      <c r="Q57" s="848"/>
      <c r="R57" s="848"/>
      <c r="S57" s="848"/>
      <c r="T57" s="849"/>
      <c r="U57" s="234" t="s">
        <v>5</v>
      </c>
    </row>
    <row r="58" spans="1:21" x14ac:dyDescent="0.25">
      <c r="A58" s="723" t="s">
        <v>574</v>
      </c>
      <c r="B58" s="724"/>
      <c r="C58" s="724"/>
      <c r="D58" s="724"/>
      <c r="E58" s="724"/>
      <c r="F58" s="724"/>
      <c r="G58" s="724"/>
      <c r="H58" s="724"/>
      <c r="I58" s="134">
        <f>34+178.48+43.45</f>
        <v>255.93</v>
      </c>
      <c r="J58" s="131" t="s">
        <v>72</v>
      </c>
      <c r="K58" s="479">
        <f t="shared" ref="K58:K65" si="4">I58+T58</f>
        <v>604.23</v>
      </c>
      <c r="L58" s="829" t="s">
        <v>615</v>
      </c>
      <c r="M58" s="830"/>
      <c r="N58" s="830"/>
      <c r="O58" s="830"/>
      <c r="P58" s="830"/>
      <c r="Q58" s="830"/>
      <c r="R58" s="830"/>
      <c r="S58" s="830"/>
      <c r="T58" s="588">
        <f>224.7+78.3+45.3</f>
        <v>348.3</v>
      </c>
      <c r="U58" s="232" t="s">
        <v>159</v>
      </c>
    </row>
    <row r="59" spans="1:21" x14ac:dyDescent="0.25">
      <c r="A59" s="714" t="s">
        <v>564</v>
      </c>
      <c r="B59" s="715"/>
      <c r="C59" s="715"/>
      <c r="D59" s="715"/>
      <c r="E59" s="715"/>
      <c r="F59" s="715"/>
      <c r="G59" s="715"/>
      <c r="H59" s="715"/>
      <c r="I59" s="135">
        <f>2.21+11.58+2.82</f>
        <v>16.61</v>
      </c>
      <c r="J59" s="131" t="s">
        <v>126</v>
      </c>
      <c r="K59" s="479">
        <f t="shared" si="4"/>
        <v>38.61</v>
      </c>
      <c r="L59" s="834" t="s">
        <v>611</v>
      </c>
      <c r="M59" s="835"/>
      <c r="N59" s="835"/>
      <c r="O59" s="835"/>
      <c r="P59" s="835"/>
      <c r="Q59" s="835"/>
      <c r="R59" s="835"/>
      <c r="S59" s="835"/>
      <c r="T59" s="589">
        <f>14.1+5+2.9</f>
        <v>22</v>
      </c>
      <c r="U59" s="229" t="s">
        <v>160</v>
      </c>
    </row>
    <row r="60" spans="1:21" x14ac:dyDescent="0.25">
      <c r="A60" s="714" t="s">
        <v>561</v>
      </c>
      <c r="B60" s="715"/>
      <c r="C60" s="715"/>
      <c r="D60" s="715"/>
      <c r="E60" s="715"/>
      <c r="F60" s="715"/>
      <c r="G60" s="715"/>
      <c r="H60" s="715"/>
      <c r="I60" s="135">
        <f>I59</f>
        <v>16.61</v>
      </c>
      <c r="J60" s="131" t="s">
        <v>126</v>
      </c>
      <c r="K60" s="479">
        <f t="shared" si="4"/>
        <v>38.61</v>
      </c>
      <c r="L60" s="834" t="s">
        <v>609</v>
      </c>
      <c r="M60" s="835"/>
      <c r="N60" s="835"/>
      <c r="O60" s="835"/>
      <c r="P60" s="835"/>
      <c r="Q60" s="835"/>
      <c r="R60" s="835"/>
      <c r="S60" s="835"/>
      <c r="T60" s="589">
        <f>T59</f>
        <v>22</v>
      </c>
      <c r="U60" s="229" t="s">
        <v>160</v>
      </c>
    </row>
    <row r="61" spans="1:21" x14ac:dyDescent="0.25">
      <c r="A61" s="714" t="s">
        <v>568</v>
      </c>
      <c r="B61" s="715"/>
      <c r="C61" s="715"/>
      <c r="D61" s="715"/>
      <c r="E61" s="715"/>
      <c r="F61" s="715"/>
      <c r="G61" s="715"/>
      <c r="H61" s="715"/>
      <c r="I61" s="135">
        <v>430</v>
      </c>
      <c r="J61" s="131" t="s">
        <v>562</v>
      </c>
      <c r="K61" s="479">
        <f t="shared" si="4"/>
        <v>963</v>
      </c>
      <c r="L61" s="834" t="s">
        <v>612</v>
      </c>
      <c r="M61" s="835"/>
      <c r="N61" s="835"/>
      <c r="O61" s="835"/>
      <c r="P61" s="835"/>
      <c r="Q61" s="835"/>
      <c r="R61" s="835"/>
      <c r="S61" s="835"/>
      <c r="T61" s="589">
        <f>40+146+347</f>
        <v>533</v>
      </c>
      <c r="U61" s="229" t="s">
        <v>92</v>
      </c>
    </row>
    <row r="62" spans="1:21" x14ac:dyDescent="0.25">
      <c r="A62" s="714" t="s">
        <v>570</v>
      </c>
      <c r="B62" s="715"/>
      <c r="C62" s="715"/>
      <c r="D62" s="715"/>
      <c r="E62" s="715"/>
      <c r="F62" s="715"/>
      <c r="G62" s="715"/>
      <c r="H62" s="715"/>
      <c r="I62" s="135">
        <v>50</v>
      </c>
      <c r="J62" s="131" t="s">
        <v>562</v>
      </c>
      <c r="K62" s="479">
        <f t="shared" si="4"/>
        <v>103</v>
      </c>
      <c r="L62" s="834" t="s">
        <v>617</v>
      </c>
      <c r="M62" s="835"/>
      <c r="N62" s="835"/>
      <c r="O62" s="835"/>
      <c r="P62" s="835"/>
      <c r="Q62" s="835"/>
      <c r="R62" s="835"/>
      <c r="S62" s="835"/>
      <c r="T62" s="589">
        <f>10+33+10</f>
        <v>53</v>
      </c>
      <c r="U62" s="229" t="s">
        <v>92</v>
      </c>
    </row>
    <row r="63" spans="1:21" x14ac:dyDescent="0.25">
      <c r="A63" s="714" t="s">
        <v>565</v>
      </c>
      <c r="B63" s="715"/>
      <c r="C63" s="715"/>
      <c r="D63" s="715"/>
      <c r="E63" s="715"/>
      <c r="F63" s="715"/>
      <c r="G63" s="715"/>
      <c r="H63" s="715"/>
      <c r="I63" s="135">
        <v>858</v>
      </c>
      <c r="J63" s="131" t="s">
        <v>562</v>
      </c>
      <c r="K63" s="479">
        <f t="shared" si="4"/>
        <v>1975</v>
      </c>
      <c r="L63" s="834" t="s">
        <v>613</v>
      </c>
      <c r="M63" s="835"/>
      <c r="N63" s="835"/>
      <c r="O63" s="835"/>
      <c r="P63" s="835"/>
      <c r="Q63" s="835"/>
      <c r="R63" s="835"/>
      <c r="S63" s="835"/>
      <c r="T63" s="589">
        <f>80+289+748</f>
        <v>1117</v>
      </c>
      <c r="U63" s="229" t="s">
        <v>92</v>
      </c>
    </row>
    <row r="64" spans="1:21" x14ac:dyDescent="0.25">
      <c r="A64" s="714" t="s">
        <v>566</v>
      </c>
      <c r="B64" s="715"/>
      <c r="C64" s="715"/>
      <c r="D64" s="715"/>
      <c r="E64" s="715"/>
      <c r="F64" s="715"/>
      <c r="G64" s="715"/>
      <c r="H64" s="715"/>
      <c r="I64" s="135">
        <v>167</v>
      </c>
      <c r="J64" s="131" t="s">
        <v>562</v>
      </c>
      <c r="K64" s="479">
        <f t="shared" si="4"/>
        <v>167</v>
      </c>
      <c r="L64" s="834" t="s">
        <v>1604</v>
      </c>
      <c r="M64" s="835"/>
      <c r="N64" s="835"/>
      <c r="O64" s="835"/>
      <c r="P64" s="835"/>
      <c r="Q64" s="835"/>
      <c r="R64" s="835"/>
      <c r="S64" s="835"/>
      <c r="T64" s="589">
        <v>0</v>
      </c>
      <c r="U64" s="229" t="s">
        <v>92</v>
      </c>
    </row>
    <row r="65" spans="1:21" ht="15.75" thickBot="1" x14ac:dyDescent="0.3">
      <c r="A65" s="821"/>
      <c r="B65" s="822"/>
      <c r="C65" s="822"/>
      <c r="D65" s="822"/>
      <c r="E65" s="822"/>
      <c r="F65" s="822"/>
      <c r="G65" s="822"/>
      <c r="H65" s="823"/>
      <c r="I65" s="238"/>
      <c r="K65" s="479">
        <f t="shared" si="4"/>
        <v>0</v>
      </c>
      <c r="L65" s="834" t="s">
        <v>618</v>
      </c>
      <c r="M65" s="835"/>
      <c r="N65" s="835"/>
      <c r="O65" s="835"/>
      <c r="P65" s="835"/>
      <c r="Q65" s="835"/>
      <c r="R65" s="835"/>
      <c r="S65" s="835"/>
      <c r="T65" s="589">
        <v>0</v>
      </c>
      <c r="U65" s="229" t="s">
        <v>92</v>
      </c>
    </row>
    <row r="66" spans="1:21" ht="18" thickBot="1" x14ac:dyDescent="0.3">
      <c r="A66" s="809" t="s">
        <v>576</v>
      </c>
      <c r="B66" s="810"/>
      <c r="C66" s="810"/>
      <c r="D66" s="810"/>
      <c r="E66" s="810"/>
      <c r="F66" s="810"/>
      <c r="G66" s="810"/>
      <c r="H66" s="810"/>
      <c r="I66" s="811"/>
      <c r="K66" s="480"/>
      <c r="L66" s="847" t="s">
        <v>576</v>
      </c>
      <c r="M66" s="848"/>
      <c r="N66" s="848"/>
      <c r="O66" s="848"/>
      <c r="P66" s="848"/>
      <c r="Q66" s="848"/>
      <c r="R66" s="848"/>
      <c r="S66" s="848"/>
      <c r="T66" s="849"/>
      <c r="U66" s="234" t="s">
        <v>5</v>
      </c>
    </row>
    <row r="67" spans="1:21" x14ac:dyDescent="0.25">
      <c r="A67" s="723" t="s">
        <v>574</v>
      </c>
      <c r="B67" s="724"/>
      <c r="C67" s="724"/>
      <c r="D67" s="724"/>
      <c r="E67" s="724"/>
      <c r="F67" s="724"/>
      <c r="G67" s="724"/>
      <c r="H67" s="724"/>
      <c r="I67" s="134">
        <f>458.14+98.84</f>
        <v>556.98</v>
      </c>
      <c r="J67" s="131" t="s">
        <v>72</v>
      </c>
      <c r="K67" s="479">
        <f t="shared" ref="K67:K75" si="5">I67+T67</f>
        <v>1361.58</v>
      </c>
      <c r="L67" s="829" t="s">
        <v>615</v>
      </c>
      <c r="M67" s="830"/>
      <c r="N67" s="830"/>
      <c r="O67" s="830"/>
      <c r="P67" s="830"/>
      <c r="Q67" s="830"/>
      <c r="R67" s="830"/>
      <c r="S67" s="830"/>
      <c r="T67" s="588">
        <f>125.5+283.3+395.8</f>
        <v>804.6</v>
      </c>
      <c r="U67" s="232" t="s">
        <v>159</v>
      </c>
    </row>
    <row r="68" spans="1:21" x14ac:dyDescent="0.25">
      <c r="A68" s="714" t="s">
        <v>564</v>
      </c>
      <c r="B68" s="715"/>
      <c r="C68" s="715"/>
      <c r="D68" s="715"/>
      <c r="E68" s="715"/>
      <c r="F68" s="715"/>
      <c r="G68" s="715"/>
      <c r="H68" s="715"/>
      <c r="I68" s="135">
        <f>36.44+6.8</f>
        <v>43.239999999999995</v>
      </c>
      <c r="J68" s="131" t="s">
        <v>126</v>
      </c>
      <c r="K68" s="479">
        <f t="shared" si="5"/>
        <v>105.34</v>
      </c>
      <c r="L68" s="834" t="s">
        <v>611</v>
      </c>
      <c r="M68" s="835"/>
      <c r="N68" s="835"/>
      <c r="O68" s="835"/>
      <c r="P68" s="835"/>
      <c r="Q68" s="835"/>
      <c r="R68" s="835"/>
      <c r="S68" s="835"/>
      <c r="T68" s="589">
        <f>8.8+22.2+31.1</f>
        <v>62.1</v>
      </c>
      <c r="U68" s="229" t="s">
        <v>160</v>
      </c>
    </row>
    <row r="69" spans="1:21" x14ac:dyDescent="0.25">
      <c r="A69" s="714" t="s">
        <v>561</v>
      </c>
      <c r="B69" s="715"/>
      <c r="C69" s="715"/>
      <c r="D69" s="715"/>
      <c r="E69" s="715"/>
      <c r="F69" s="715"/>
      <c r="G69" s="715"/>
      <c r="H69" s="715"/>
      <c r="I69" s="135">
        <f>I68</f>
        <v>43.239999999999995</v>
      </c>
      <c r="J69" s="131" t="s">
        <v>126</v>
      </c>
      <c r="K69" s="479">
        <f t="shared" si="5"/>
        <v>105.34</v>
      </c>
      <c r="L69" s="834" t="s">
        <v>609</v>
      </c>
      <c r="M69" s="835"/>
      <c r="N69" s="835"/>
      <c r="O69" s="835"/>
      <c r="P69" s="835"/>
      <c r="Q69" s="835"/>
      <c r="R69" s="835"/>
      <c r="S69" s="835"/>
      <c r="T69" s="589">
        <f>T68</f>
        <v>62.1</v>
      </c>
      <c r="U69" s="229" t="s">
        <v>160</v>
      </c>
    </row>
    <row r="70" spans="1:21" x14ac:dyDescent="0.25">
      <c r="A70" s="714" t="s">
        <v>568</v>
      </c>
      <c r="B70" s="715"/>
      <c r="C70" s="715"/>
      <c r="D70" s="715"/>
      <c r="E70" s="715"/>
      <c r="F70" s="715"/>
      <c r="G70" s="715"/>
      <c r="H70" s="715"/>
      <c r="I70" s="135">
        <f>206+226+84</f>
        <v>516</v>
      </c>
      <c r="J70" s="131" t="s">
        <v>562</v>
      </c>
      <c r="K70" s="479">
        <f t="shared" si="5"/>
        <v>1261</v>
      </c>
      <c r="L70" s="834" t="s">
        <v>612</v>
      </c>
      <c r="M70" s="835"/>
      <c r="N70" s="835"/>
      <c r="O70" s="835"/>
      <c r="P70" s="835"/>
      <c r="Q70" s="835"/>
      <c r="R70" s="835"/>
      <c r="S70" s="835"/>
      <c r="T70" s="589">
        <f>108+254+383</f>
        <v>745</v>
      </c>
      <c r="U70" s="229" t="s">
        <v>92</v>
      </c>
    </row>
    <row r="71" spans="1:21" x14ac:dyDescent="0.25">
      <c r="A71" s="714" t="s">
        <v>569</v>
      </c>
      <c r="B71" s="715"/>
      <c r="C71" s="715"/>
      <c r="D71" s="715"/>
      <c r="E71" s="715"/>
      <c r="F71" s="715"/>
      <c r="G71" s="715"/>
      <c r="H71" s="715"/>
      <c r="I71" s="135">
        <f>192+145+127</f>
        <v>464</v>
      </c>
      <c r="J71" s="131" t="s">
        <v>562</v>
      </c>
      <c r="K71" s="479">
        <f t="shared" si="5"/>
        <v>952</v>
      </c>
      <c r="L71" s="834" t="s">
        <v>1616</v>
      </c>
      <c r="M71" s="835"/>
      <c r="N71" s="835"/>
      <c r="O71" s="835"/>
      <c r="P71" s="835"/>
      <c r="Q71" s="835"/>
      <c r="R71" s="835"/>
      <c r="S71" s="835"/>
      <c r="T71" s="589">
        <f>242+125+121</f>
        <v>488</v>
      </c>
      <c r="U71" s="229" t="s">
        <v>92</v>
      </c>
    </row>
    <row r="72" spans="1:21" x14ac:dyDescent="0.25">
      <c r="A72" s="714" t="s">
        <v>570</v>
      </c>
      <c r="B72" s="715"/>
      <c r="C72" s="715"/>
      <c r="D72" s="715"/>
      <c r="E72" s="715"/>
      <c r="F72" s="715"/>
      <c r="G72" s="715"/>
      <c r="H72" s="715"/>
      <c r="I72" s="135">
        <f>126+108</f>
        <v>234</v>
      </c>
      <c r="J72" s="131" t="s">
        <v>562</v>
      </c>
      <c r="K72" s="479">
        <f t="shared" si="5"/>
        <v>817</v>
      </c>
      <c r="L72" s="834" t="s">
        <v>617</v>
      </c>
      <c r="M72" s="835"/>
      <c r="N72" s="835"/>
      <c r="O72" s="835"/>
      <c r="P72" s="835"/>
      <c r="Q72" s="835"/>
      <c r="R72" s="835"/>
      <c r="S72" s="835"/>
      <c r="T72" s="589">
        <f>8+315+260</f>
        <v>583</v>
      </c>
      <c r="U72" s="229" t="s">
        <v>92</v>
      </c>
    </row>
    <row r="73" spans="1:21" x14ac:dyDescent="0.25">
      <c r="A73" s="714" t="s">
        <v>565</v>
      </c>
      <c r="B73" s="715"/>
      <c r="C73" s="715"/>
      <c r="D73" s="715"/>
      <c r="E73" s="715"/>
      <c r="F73" s="715"/>
      <c r="G73" s="715"/>
      <c r="H73" s="715"/>
      <c r="I73" s="135">
        <f>405+565+190</f>
        <v>1160</v>
      </c>
      <c r="J73" s="131" t="s">
        <v>562</v>
      </c>
      <c r="K73" s="479">
        <f t="shared" si="5"/>
        <v>2825</v>
      </c>
      <c r="L73" s="834" t="s">
        <v>613</v>
      </c>
      <c r="M73" s="835"/>
      <c r="N73" s="835"/>
      <c r="O73" s="835"/>
      <c r="P73" s="835"/>
      <c r="Q73" s="835"/>
      <c r="R73" s="835"/>
      <c r="S73" s="835"/>
      <c r="T73" s="589">
        <f>260+547+858</f>
        <v>1665</v>
      </c>
      <c r="U73" s="229" t="s">
        <v>92</v>
      </c>
    </row>
    <row r="74" spans="1:21" x14ac:dyDescent="0.25">
      <c r="A74" s="714" t="s">
        <v>566</v>
      </c>
      <c r="B74" s="715"/>
      <c r="C74" s="715"/>
      <c r="D74" s="715"/>
      <c r="E74" s="715"/>
      <c r="F74" s="715"/>
      <c r="G74" s="715"/>
      <c r="H74" s="715"/>
      <c r="I74" s="135">
        <f>88+64+15</f>
        <v>167</v>
      </c>
      <c r="J74" s="131" t="s">
        <v>562</v>
      </c>
      <c r="K74" s="479">
        <f t="shared" si="5"/>
        <v>318</v>
      </c>
      <c r="L74" s="834" t="s">
        <v>1604</v>
      </c>
      <c r="M74" s="835"/>
      <c r="N74" s="835"/>
      <c r="O74" s="835"/>
      <c r="P74" s="835"/>
      <c r="Q74" s="835"/>
      <c r="R74" s="835"/>
      <c r="S74" s="835"/>
      <c r="T74" s="589">
        <f>86+55+10</f>
        <v>151</v>
      </c>
      <c r="U74" s="229" t="s">
        <v>92</v>
      </c>
    </row>
    <row r="75" spans="1:21" ht="15.75" thickBot="1" x14ac:dyDescent="0.3">
      <c r="A75" s="796" t="s">
        <v>571</v>
      </c>
      <c r="B75" s="797"/>
      <c r="C75" s="797"/>
      <c r="D75" s="797"/>
      <c r="E75" s="797"/>
      <c r="F75" s="797"/>
      <c r="G75" s="797"/>
      <c r="H75" s="797"/>
      <c r="I75" s="136">
        <f>13</f>
        <v>13</v>
      </c>
      <c r="J75" s="131" t="s">
        <v>562</v>
      </c>
      <c r="K75" s="479">
        <f t="shared" si="5"/>
        <v>135</v>
      </c>
      <c r="L75" s="834" t="s">
        <v>618</v>
      </c>
      <c r="M75" s="835"/>
      <c r="N75" s="835"/>
      <c r="O75" s="835"/>
      <c r="P75" s="835"/>
      <c r="Q75" s="835"/>
      <c r="R75" s="835"/>
      <c r="S75" s="835"/>
      <c r="T75" s="589">
        <v>122</v>
      </c>
      <c r="U75" s="229" t="s">
        <v>92</v>
      </c>
    </row>
    <row r="76" spans="1:21" ht="18" thickBot="1" x14ac:dyDescent="0.3">
      <c r="A76" s="824" t="s">
        <v>583</v>
      </c>
      <c r="B76" s="825"/>
      <c r="C76" s="825"/>
      <c r="D76" s="825"/>
      <c r="E76" s="825"/>
      <c r="F76" s="825"/>
      <c r="G76" s="825"/>
      <c r="H76" s="825"/>
      <c r="I76" s="826"/>
      <c r="K76" s="480"/>
      <c r="L76" s="847" t="s">
        <v>1619</v>
      </c>
      <c r="M76" s="848"/>
      <c r="N76" s="848"/>
      <c r="O76" s="848"/>
      <c r="P76" s="848"/>
      <c r="Q76" s="848"/>
      <c r="R76" s="848"/>
      <c r="S76" s="848"/>
      <c r="T76" s="849"/>
      <c r="U76" s="234" t="s">
        <v>5</v>
      </c>
    </row>
    <row r="77" spans="1:21" ht="15.75" customHeight="1" thickBot="1" x14ac:dyDescent="0.3">
      <c r="A77" s="756" t="s">
        <v>3050</v>
      </c>
      <c r="B77" s="757"/>
      <c r="C77" s="757"/>
      <c r="D77" s="757"/>
      <c r="E77" s="757"/>
      <c r="F77" s="757"/>
      <c r="G77" s="757"/>
      <c r="H77" s="757"/>
      <c r="I77" s="135">
        <v>963.47</v>
      </c>
      <c r="K77" s="479">
        <f>I77+T77</f>
        <v>1968.0700000000002</v>
      </c>
      <c r="L77" s="829" t="s">
        <v>1620</v>
      </c>
      <c r="M77" s="830"/>
      <c r="N77" s="830"/>
      <c r="O77" s="830"/>
      <c r="P77" s="830"/>
      <c r="Q77" s="830"/>
      <c r="R77" s="830"/>
      <c r="S77" s="830"/>
      <c r="T77" s="588">
        <v>1004.6</v>
      </c>
      <c r="U77" s="232" t="s">
        <v>159</v>
      </c>
    </row>
    <row r="78" spans="1:21" ht="15.75" thickBot="1" x14ac:dyDescent="0.3">
      <c r="A78" s="756" t="s">
        <v>1608</v>
      </c>
      <c r="B78" s="757"/>
      <c r="C78" s="757"/>
      <c r="D78" s="757"/>
      <c r="E78" s="757"/>
      <c r="F78" s="757"/>
      <c r="G78" s="757"/>
      <c r="H78" s="757"/>
      <c r="I78" s="135">
        <f>I77*1.2</f>
        <v>1156.164</v>
      </c>
      <c r="K78" s="479">
        <f>I78+T78</f>
        <v>2361.6840000000002</v>
      </c>
      <c r="L78" s="756" t="s">
        <v>1608</v>
      </c>
      <c r="M78" s="757"/>
      <c r="N78" s="757"/>
      <c r="O78" s="757"/>
      <c r="P78" s="757"/>
      <c r="Q78" s="757"/>
      <c r="R78" s="757"/>
      <c r="S78" s="757"/>
      <c r="T78" s="588">
        <f>1004.6*1.2</f>
        <v>1205.52</v>
      </c>
      <c r="U78" s="232" t="s">
        <v>159</v>
      </c>
    </row>
    <row r="79" spans="1:21" ht="18" thickBot="1" x14ac:dyDescent="0.3">
      <c r="A79" s="824" t="s">
        <v>577</v>
      </c>
      <c r="B79" s="825"/>
      <c r="C79" s="825"/>
      <c r="D79" s="825"/>
      <c r="E79" s="825"/>
      <c r="F79" s="825"/>
      <c r="G79" s="825"/>
      <c r="H79" s="825"/>
      <c r="I79" s="826"/>
      <c r="K79" s="480"/>
      <c r="L79" s="863" t="s">
        <v>74</v>
      </c>
      <c r="M79" s="864"/>
      <c r="N79" s="864"/>
      <c r="O79" s="864"/>
      <c r="P79" s="864"/>
      <c r="Q79" s="864"/>
      <c r="R79" s="864"/>
      <c r="S79" s="864"/>
      <c r="T79" s="865"/>
      <c r="U79" s="236" t="s">
        <v>5</v>
      </c>
    </row>
    <row r="80" spans="1:21" x14ac:dyDescent="0.25">
      <c r="A80" s="827" t="s">
        <v>578</v>
      </c>
      <c r="B80" s="828"/>
      <c r="C80" s="828"/>
      <c r="D80" s="828"/>
      <c r="E80" s="828"/>
      <c r="F80" s="828"/>
      <c r="G80" s="828"/>
      <c r="H80" s="828"/>
      <c r="I80" s="587">
        <f>13509.37</f>
        <v>13509.37</v>
      </c>
      <c r="J80" s="131" t="s">
        <v>579</v>
      </c>
      <c r="K80" s="479">
        <f t="shared" ref="K80:K82" si="6">I80+T80</f>
        <v>33530.9</v>
      </c>
      <c r="L80" s="866" t="s">
        <v>578</v>
      </c>
      <c r="M80" s="867"/>
      <c r="N80" s="867"/>
      <c r="O80" s="867"/>
      <c r="P80" s="867"/>
      <c r="Q80" s="867"/>
      <c r="R80" s="867"/>
      <c r="S80" s="867"/>
      <c r="T80" s="593">
        <v>20021.53</v>
      </c>
      <c r="U80" s="232" t="s">
        <v>92</v>
      </c>
    </row>
    <row r="81" spans="1:21" x14ac:dyDescent="0.25">
      <c r="A81" s="714" t="s">
        <v>580</v>
      </c>
      <c r="B81" s="715"/>
      <c r="C81" s="715"/>
      <c r="D81" s="715"/>
      <c r="E81" s="715"/>
      <c r="F81" s="715"/>
      <c r="G81" s="715"/>
      <c r="H81" s="715"/>
      <c r="I81" s="135">
        <v>841.44</v>
      </c>
      <c r="J81" s="131" t="s">
        <v>581</v>
      </c>
      <c r="K81" s="479">
        <f t="shared" si="6"/>
        <v>1772.7600000000002</v>
      </c>
      <c r="L81" s="834" t="s">
        <v>580</v>
      </c>
      <c r="M81" s="835"/>
      <c r="N81" s="835"/>
      <c r="O81" s="835"/>
      <c r="P81" s="835"/>
      <c r="Q81" s="835"/>
      <c r="R81" s="835"/>
      <c r="S81" s="835"/>
      <c r="T81" s="589">
        <v>931.32</v>
      </c>
      <c r="U81" s="229" t="s">
        <v>159</v>
      </c>
    </row>
    <row r="82" spans="1:21" ht="15.75" customHeight="1" thickBot="1" x14ac:dyDescent="0.3">
      <c r="A82" s="860" t="s">
        <v>582</v>
      </c>
      <c r="B82" s="861"/>
      <c r="C82" s="861"/>
      <c r="D82" s="861"/>
      <c r="E82" s="861"/>
      <c r="F82" s="861"/>
      <c r="G82" s="861"/>
      <c r="H82" s="862"/>
      <c r="I82" s="136">
        <v>156.46</v>
      </c>
      <c r="J82" s="131" t="s">
        <v>579</v>
      </c>
      <c r="K82" s="479">
        <f t="shared" si="6"/>
        <v>309.19</v>
      </c>
      <c r="L82" s="857" t="s">
        <v>582</v>
      </c>
      <c r="M82" s="858"/>
      <c r="N82" s="858"/>
      <c r="O82" s="858"/>
      <c r="P82" s="858"/>
      <c r="Q82" s="858"/>
      <c r="R82" s="858"/>
      <c r="S82" s="859"/>
      <c r="T82" s="590">
        <v>152.72999999999999</v>
      </c>
      <c r="U82" s="230" t="s">
        <v>92</v>
      </c>
    </row>
  </sheetData>
  <mergeCells count="150">
    <mergeCell ref="L82:S82"/>
    <mergeCell ref="A82:H82"/>
    <mergeCell ref="A76:I76"/>
    <mergeCell ref="A77:H77"/>
    <mergeCell ref="A78:H78"/>
    <mergeCell ref="L76:T76"/>
    <mergeCell ref="L78:S78"/>
    <mergeCell ref="L81:S81"/>
    <mergeCell ref="L20:S20"/>
    <mergeCell ref="L22:S22"/>
    <mergeCell ref="L75:S75"/>
    <mergeCell ref="L77:S77"/>
    <mergeCell ref="L79:T79"/>
    <mergeCell ref="L80:S80"/>
    <mergeCell ref="L69:S69"/>
    <mergeCell ref="L70:S70"/>
    <mergeCell ref="L71:S71"/>
    <mergeCell ref="L72:S72"/>
    <mergeCell ref="L73:S73"/>
    <mergeCell ref="L74:S74"/>
    <mergeCell ref="L63:S63"/>
    <mergeCell ref="L64:S64"/>
    <mergeCell ref="L65:S65"/>
    <mergeCell ref="L66:T66"/>
    <mergeCell ref="L67:S67"/>
    <mergeCell ref="L68:S68"/>
    <mergeCell ref="L57:T57"/>
    <mergeCell ref="L58:S58"/>
    <mergeCell ref="L59:S59"/>
    <mergeCell ref="L60:S60"/>
    <mergeCell ref="L61:S61"/>
    <mergeCell ref="L62:S62"/>
    <mergeCell ref="L50:S50"/>
    <mergeCell ref="L51:S51"/>
    <mergeCell ref="L52:S52"/>
    <mergeCell ref="L53:S53"/>
    <mergeCell ref="L54:S54"/>
    <mergeCell ref="L56:T56"/>
    <mergeCell ref="L44:S44"/>
    <mergeCell ref="L45:S45"/>
    <mergeCell ref="L46:S46"/>
    <mergeCell ref="L47:T47"/>
    <mergeCell ref="L48:S48"/>
    <mergeCell ref="L49:S49"/>
    <mergeCell ref="L38:S38"/>
    <mergeCell ref="L39:T39"/>
    <mergeCell ref="L40:S40"/>
    <mergeCell ref="L41:S41"/>
    <mergeCell ref="L42:S42"/>
    <mergeCell ref="L43:S43"/>
    <mergeCell ref="L37:S37"/>
    <mergeCell ref="L29:S29"/>
    <mergeCell ref="L30:S30"/>
    <mergeCell ref="L31:T31"/>
    <mergeCell ref="L32:S32"/>
    <mergeCell ref="L33:S33"/>
    <mergeCell ref="L34:S34"/>
    <mergeCell ref="L23:S23"/>
    <mergeCell ref="L24:S24"/>
    <mergeCell ref="L25:T25"/>
    <mergeCell ref="L26:S26"/>
    <mergeCell ref="L27:S27"/>
    <mergeCell ref="L28:S28"/>
    <mergeCell ref="L35:S35"/>
    <mergeCell ref="L36:S36"/>
    <mergeCell ref="L19:S19"/>
    <mergeCell ref="L21:S21"/>
    <mergeCell ref="L15:S15"/>
    <mergeCell ref="L16:S16"/>
    <mergeCell ref="L17:S17"/>
    <mergeCell ref="L18:S18"/>
    <mergeCell ref="L1:U1"/>
    <mergeCell ref="L3:T3"/>
    <mergeCell ref="L4:S4"/>
    <mergeCell ref="L5:S5"/>
    <mergeCell ref="L6:S6"/>
    <mergeCell ref="L8:T8"/>
    <mergeCell ref="L9:T9"/>
    <mergeCell ref="L13:S13"/>
    <mergeCell ref="L14:S14"/>
    <mergeCell ref="L10:S10"/>
    <mergeCell ref="L11:S11"/>
    <mergeCell ref="L12:S12"/>
    <mergeCell ref="A73:H73"/>
    <mergeCell ref="A74:H74"/>
    <mergeCell ref="A75:H75"/>
    <mergeCell ref="A79:I79"/>
    <mergeCell ref="A80:H80"/>
    <mergeCell ref="A81:H81"/>
    <mergeCell ref="A67:H67"/>
    <mergeCell ref="A68:H68"/>
    <mergeCell ref="A69:H69"/>
    <mergeCell ref="A70:H70"/>
    <mergeCell ref="A71:H71"/>
    <mergeCell ref="A72:H72"/>
    <mergeCell ref="A60:H60"/>
    <mergeCell ref="A61:H61"/>
    <mergeCell ref="A62:H62"/>
    <mergeCell ref="A63:H63"/>
    <mergeCell ref="A64:H64"/>
    <mergeCell ref="A66:I66"/>
    <mergeCell ref="A29:H29"/>
    <mergeCell ref="A45:H45"/>
    <mergeCell ref="A46:H46"/>
    <mergeCell ref="A56:I56"/>
    <mergeCell ref="A57:I57"/>
    <mergeCell ref="A58:H58"/>
    <mergeCell ref="A59:H59"/>
    <mergeCell ref="A39:I39"/>
    <mergeCell ref="A40:H40"/>
    <mergeCell ref="A41:H41"/>
    <mergeCell ref="A42:H42"/>
    <mergeCell ref="A43:H43"/>
    <mergeCell ref="A44:H44"/>
    <mergeCell ref="A35:H35"/>
    <mergeCell ref="A36:H36"/>
    <mergeCell ref="A38:H38"/>
    <mergeCell ref="A65:H65"/>
    <mergeCell ref="A1:I1"/>
    <mergeCell ref="A3:I3"/>
    <mergeCell ref="A4:H4"/>
    <mergeCell ref="A5:H5"/>
    <mergeCell ref="A6:H6"/>
    <mergeCell ref="A8:I8"/>
    <mergeCell ref="A18:H18"/>
    <mergeCell ref="A19:H19"/>
    <mergeCell ref="A20:H20"/>
    <mergeCell ref="A10:H10"/>
    <mergeCell ref="A11:H11"/>
    <mergeCell ref="A12:H12"/>
    <mergeCell ref="A9:I9"/>
    <mergeCell ref="A13:H13"/>
    <mergeCell ref="A14:H14"/>
    <mergeCell ref="A15:H15"/>
    <mergeCell ref="A16:H16"/>
    <mergeCell ref="A17:H17"/>
    <mergeCell ref="A21:H21"/>
    <mergeCell ref="A22:H22"/>
    <mergeCell ref="A23:H23"/>
    <mergeCell ref="A30:H30"/>
    <mergeCell ref="A31:I31"/>
    <mergeCell ref="A32:H32"/>
    <mergeCell ref="A33:H33"/>
    <mergeCell ref="A34:H34"/>
    <mergeCell ref="A37:H37"/>
    <mergeCell ref="A24:H24"/>
    <mergeCell ref="A25:I25"/>
    <mergeCell ref="A26:H26"/>
    <mergeCell ref="A27:H27"/>
    <mergeCell ref="A28:H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K70"/>
  <sheetViews>
    <sheetView workbookViewId="0">
      <selection activeCell="P18" sqref="P18"/>
    </sheetView>
  </sheetViews>
  <sheetFormatPr defaultRowHeight="15" x14ac:dyDescent="0.25"/>
  <cols>
    <col min="1" max="7" width="9.140625" style="131"/>
    <col min="8" max="8" width="8.7109375" style="131" customWidth="1"/>
    <col min="9" max="9" width="9.5703125" style="579" bestFit="1" customWidth="1"/>
    <col min="10" max="16384" width="9.140625" style="131"/>
  </cols>
  <sheetData>
    <row r="1" spans="1:11" ht="60" customHeight="1" thickBot="1" x14ac:dyDescent="0.3">
      <c r="A1" s="718" t="s">
        <v>3365</v>
      </c>
      <c r="B1" s="719"/>
      <c r="C1" s="719"/>
      <c r="D1" s="719"/>
      <c r="E1" s="719"/>
      <c r="F1" s="719"/>
      <c r="G1" s="719"/>
      <c r="H1" s="719"/>
      <c r="I1" s="719"/>
      <c r="J1" s="720"/>
    </row>
    <row r="2" spans="1:11" ht="15.75" thickBot="1" x14ac:dyDescent="0.3"/>
    <row r="3" spans="1:11" ht="18" thickBot="1" x14ac:dyDescent="0.3">
      <c r="A3" s="871" t="s">
        <v>541</v>
      </c>
      <c r="B3" s="872"/>
      <c r="C3" s="872"/>
      <c r="D3" s="872"/>
      <c r="E3" s="872"/>
      <c r="F3" s="872"/>
      <c r="G3" s="872"/>
      <c r="H3" s="872"/>
      <c r="I3" s="882"/>
      <c r="J3" s="139" t="s">
        <v>5</v>
      </c>
    </row>
    <row r="4" spans="1:11" ht="30" customHeight="1" x14ac:dyDescent="0.25">
      <c r="A4" s="764" t="s">
        <v>596</v>
      </c>
      <c r="B4" s="765"/>
      <c r="C4" s="765"/>
      <c r="D4" s="765"/>
      <c r="E4" s="765"/>
      <c r="F4" s="765"/>
      <c r="G4" s="765"/>
      <c r="H4" s="765"/>
      <c r="I4" s="485">
        <f>0.4*528.05</f>
        <v>211.22</v>
      </c>
      <c r="J4" s="140" t="s">
        <v>160</v>
      </c>
    </row>
    <row r="5" spans="1:11" ht="45" customHeight="1" x14ac:dyDescent="0.25">
      <c r="A5" s="756" t="s">
        <v>597</v>
      </c>
      <c r="B5" s="757"/>
      <c r="C5" s="757"/>
      <c r="D5" s="757"/>
      <c r="E5" s="757"/>
      <c r="F5" s="757"/>
      <c r="G5" s="757"/>
      <c r="H5" s="757"/>
      <c r="I5" s="580">
        <f>2*528.05</f>
        <v>1056.0999999999999</v>
      </c>
      <c r="J5" s="140" t="s">
        <v>159</v>
      </c>
      <c r="K5" s="224"/>
    </row>
    <row r="6" spans="1:11" ht="15.75" thickBot="1" x14ac:dyDescent="0.3">
      <c r="A6" s="796" t="s">
        <v>598</v>
      </c>
      <c r="B6" s="797"/>
      <c r="C6" s="797"/>
      <c r="D6" s="797"/>
      <c r="E6" s="797"/>
      <c r="F6" s="797"/>
      <c r="G6" s="797"/>
      <c r="H6" s="797"/>
      <c r="I6" s="581">
        <f>I4</f>
        <v>211.22</v>
      </c>
      <c r="J6" s="140" t="s">
        <v>160</v>
      </c>
    </row>
    <row r="7" spans="1:11" ht="15.75" thickBot="1" x14ac:dyDescent="0.3"/>
    <row r="8" spans="1:11" ht="18" thickBot="1" x14ac:dyDescent="0.3">
      <c r="A8" s="883" t="s">
        <v>546</v>
      </c>
      <c r="B8" s="884"/>
      <c r="C8" s="884"/>
      <c r="D8" s="884"/>
      <c r="E8" s="884"/>
      <c r="F8" s="884"/>
      <c r="G8" s="884"/>
      <c r="H8" s="884"/>
      <c r="I8" s="885"/>
    </row>
    <row r="9" spans="1:11" ht="18" thickBot="1" x14ac:dyDescent="0.3">
      <c r="A9" s="868" t="s">
        <v>547</v>
      </c>
      <c r="B9" s="869"/>
      <c r="C9" s="869"/>
      <c r="D9" s="869"/>
      <c r="E9" s="869"/>
      <c r="F9" s="869"/>
      <c r="G9" s="869"/>
      <c r="H9" s="869"/>
      <c r="I9" s="870"/>
      <c r="J9" s="141" t="s">
        <v>5</v>
      </c>
    </row>
    <row r="10" spans="1:11" s="450" customFormat="1" ht="15.75" thickBot="1" x14ac:dyDescent="0.3">
      <c r="A10" s="877" t="s">
        <v>2990</v>
      </c>
      <c r="B10" s="878"/>
      <c r="C10" s="878"/>
      <c r="D10" s="878"/>
      <c r="E10" s="878"/>
      <c r="F10" s="878"/>
      <c r="G10" s="878"/>
      <c r="H10" s="878"/>
      <c r="I10" s="580">
        <v>636</v>
      </c>
      <c r="J10" s="143" t="s">
        <v>99</v>
      </c>
    </row>
    <row r="11" spans="1:11" ht="30" customHeight="1" x14ac:dyDescent="0.25">
      <c r="A11" s="764" t="s">
        <v>2984</v>
      </c>
      <c r="B11" s="765"/>
      <c r="C11" s="765"/>
      <c r="D11" s="765"/>
      <c r="E11" s="765"/>
      <c r="F11" s="765"/>
      <c r="G11" s="765"/>
      <c r="H11" s="765"/>
      <c r="I11" s="485">
        <v>79.607000000000014</v>
      </c>
      <c r="J11" s="142" t="s">
        <v>160</v>
      </c>
    </row>
    <row r="12" spans="1:11" ht="45" customHeight="1" x14ac:dyDescent="0.25">
      <c r="A12" s="756" t="s">
        <v>599</v>
      </c>
      <c r="B12" s="757"/>
      <c r="C12" s="757"/>
      <c r="D12" s="757"/>
      <c r="E12" s="757"/>
      <c r="F12" s="757"/>
      <c r="G12" s="757"/>
      <c r="H12" s="757"/>
      <c r="I12" s="580">
        <v>31.57</v>
      </c>
      <c r="J12" s="143" t="s">
        <v>160</v>
      </c>
    </row>
    <row r="13" spans="1:11" ht="22.5" customHeight="1" x14ac:dyDescent="0.25">
      <c r="A13" s="764" t="s">
        <v>2985</v>
      </c>
      <c r="B13" s="765"/>
      <c r="C13" s="765"/>
      <c r="D13" s="765"/>
      <c r="E13" s="765"/>
      <c r="F13" s="765"/>
      <c r="G13" s="765"/>
      <c r="H13" s="765"/>
      <c r="I13" s="485">
        <v>55.087000000000018</v>
      </c>
      <c r="J13" s="143" t="s">
        <v>160</v>
      </c>
    </row>
    <row r="14" spans="1:11" ht="21.75" customHeight="1" x14ac:dyDescent="0.25">
      <c r="A14" s="764" t="s">
        <v>2986</v>
      </c>
      <c r="B14" s="765"/>
      <c r="C14" s="765"/>
      <c r="D14" s="765"/>
      <c r="E14" s="765"/>
      <c r="F14" s="765"/>
      <c r="G14" s="765"/>
      <c r="H14" s="765"/>
      <c r="I14" s="485">
        <v>34.327999999999996</v>
      </c>
      <c r="J14" s="143" t="s">
        <v>160</v>
      </c>
    </row>
    <row r="15" spans="1:11" x14ac:dyDescent="0.25">
      <c r="A15" s="714" t="s">
        <v>2987</v>
      </c>
      <c r="B15" s="715"/>
      <c r="C15" s="715"/>
      <c r="D15" s="715"/>
      <c r="E15" s="715"/>
      <c r="F15" s="715"/>
      <c r="G15" s="715"/>
      <c r="H15" s="715"/>
      <c r="I15" s="580">
        <v>72.37</v>
      </c>
      <c r="J15" s="143" t="s">
        <v>159</v>
      </c>
    </row>
    <row r="16" spans="1:11" ht="30" customHeight="1" x14ac:dyDescent="0.25">
      <c r="A16" s="756" t="s">
        <v>602</v>
      </c>
      <c r="B16" s="757"/>
      <c r="C16" s="757"/>
      <c r="D16" s="757"/>
      <c r="E16" s="757"/>
      <c r="F16" s="757"/>
      <c r="G16" s="757"/>
      <c r="H16" s="757"/>
      <c r="I16" s="580">
        <v>78.924999999999997</v>
      </c>
      <c r="J16" s="143" t="s">
        <v>159</v>
      </c>
    </row>
    <row r="17" spans="1:10" x14ac:dyDescent="0.25">
      <c r="A17" s="714" t="s">
        <v>2988</v>
      </c>
      <c r="B17" s="715"/>
      <c r="C17" s="715"/>
      <c r="D17" s="715"/>
      <c r="E17" s="715"/>
      <c r="F17" s="715"/>
      <c r="G17" s="715"/>
      <c r="H17" s="715"/>
      <c r="I17" s="580">
        <v>72.37</v>
      </c>
      <c r="J17" s="143" t="s">
        <v>159</v>
      </c>
    </row>
    <row r="18" spans="1:10" x14ac:dyDescent="0.25">
      <c r="A18" s="807" t="s">
        <v>603</v>
      </c>
      <c r="B18" s="808"/>
      <c r="C18" s="808"/>
      <c r="D18" s="808"/>
      <c r="E18" s="808"/>
      <c r="F18" s="808"/>
      <c r="G18" s="808"/>
      <c r="H18" s="808"/>
      <c r="I18" s="582">
        <v>78.924999999999997</v>
      </c>
      <c r="J18" s="143" t="s">
        <v>159</v>
      </c>
    </row>
    <row r="19" spans="1:10" ht="15" customHeight="1" x14ac:dyDescent="0.25">
      <c r="A19" s="815" t="s">
        <v>604</v>
      </c>
      <c r="B19" s="816"/>
      <c r="C19" s="816"/>
      <c r="D19" s="816"/>
      <c r="E19" s="816"/>
      <c r="F19" s="816"/>
      <c r="G19" s="816"/>
      <c r="H19" s="817"/>
      <c r="I19" s="582">
        <v>18.922499999999999</v>
      </c>
      <c r="J19" s="143" t="s">
        <v>160</v>
      </c>
    </row>
    <row r="20" spans="1:10" ht="30" customHeight="1" x14ac:dyDescent="0.25">
      <c r="A20" s="771" t="s">
        <v>605</v>
      </c>
      <c r="B20" s="772"/>
      <c r="C20" s="772"/>
      <c r="D20" s="772"/>
      <c r="E20" s="772"/>
      <c r="F20" s="772"/>
      <c r="G20" s="772"/>
      <c r="H20" s="772"/>
      <c r="I20" s="582">
        <v>119.43</v>
      </c>
      <c r="J20" s="143" t="s">
        <v>159</v>
      </c>
    </row>
    <row r="21" spans="1:10" ht="15" customHeight="1" x14ac:dyDescent="0.25">
      <c r="A21" s="757" t="s">
        <v>606</v>
      </c>
      <c r="B21" s="757"/>
      <c r="C21" s="757"/>
      <c r="D21" s="757"/>
      <c r="E21" s="757"/>
      <c r="F21" s="757"/>
      <c r="G21" s="757"/>
      <c r="H21" s="757"/>
      <c r="I21" s="580">
        <v>378.45</v>
      </c>
      <c r="J21" s="143" t="s">
        <v>159</v>
      </c>
    </row>
    <row r="22" spans="1:10" ht="15" customHeight="1" thickBot="1" x14ac:dyDescent="0.3">
      <c r="A22" s="886" t="s">
        <v>607</v>
      </c>
      <c r="B22" s="887"/>
      <c r="C22" s="887"/>
      <c r="D22" s="887"/>
      <c r="E22" s="887"/>
      <c r="F22" s="887"/>
      <c r="G22" s="887"/>
      <c r="H22" s="888"/>
      <c r="I22" s="583">
        <v>378.45</v>
      </c>
      <c r="J22" s="146" t="s">
        <v>159</v>
      </c>
    </row>
    <row r="23" spans="1:10" ht="15" customHeight="1" thickBot="1" x14ac:dyDescent="0.3">
      <c r="A23" s="868" t="s">
        <v>153</v>
      </c>
      <c r="B23" s="869"/>
      <c r="C23" s="869"/>
      <c r="D23" s="869"/>
      <c r="E23" s="869"/>
      <c r="F23" s="869"/>
      <c r="G23" s="869"/>
      <c r="H23" s="869"/>
      <c r="I23" s="870"/>
      <c r="J23" s="147" t="s">
        <v>5</v>
      </c>
    </row>
    <row r="24" spans="1:10" ht="15" customHeight="1" x14ac:dyDescent="0.25">
      <c r="A24" s="714" t="s">
        <v>608</v>
      </c>
      <c r="B24" s="715"/>
      <c r="C24" s="715"/>
      <c r="D24" s="715"/>
      <c r="E24" s="715"/>
      <c r="F24" s="715"/>
      <c r="G24" s="715"/>
      <c r="H24" s="715"/>
      <c r="I24" s="580">
        <v>26.491500000000002</v>
      </c>
      <c r="J24" s="143" t="s">
        <v>160</v>
      </c>
    </row>
    <row r="25" spans="1:10" ht="15" customHeight="1" x14ac:dyDescent="0.25">
      <c r="A25" s="714" t="s">
        <v>609</v>
      </c>
      <c r="B25" s="715"/>
      <c r="C25" s="715"/>
      <c r="D25" s="715"/>
      <c r="E25" s="715"/>
      <c r="F25" s="715"/>
      <c r="G25" s="715"/>
      <c r="H25" s="715"/>
      <c r="I25" s="580">
        <v>26.491500000000002</v>
      </c>
      <c r="J25" s="143" t="s">
        <v>160</v>
      </c>
    </row>
    <row r="26" spans="1:10" ht="15" customHeight="1" thickBot="1" x14ac:dyDescent="0.3">
      <c r="A26" s="714" t="s">
        <v>814</v>
      </c>
      <c r="B26" s="715"/>
      <c r="C26" s="715"/>
      <c r="D26" s="715"/>
      <c r="E26" s="715"/>
      <c r="F26" s="715"/>
      <c r="G26" s="715"/>
      <c r="H26" s="715"/>
      <c r="I26" s="580">
        <v>378.45</v>
      </c>
      <c r="J26" s="143" t="s">
        <v>159</v>
      </c>
    </row>
    <row r="27" spans="1:10" ht="18" thickBot="1" x14ac:dyDescent="0.3">
      <c r="A27" s="868" t="s">
        <v>563</v>
      </c>
      <c r="B27" s="869"/>
      <c r="C27" s="869"/>
      <c r="D27" s="869"/>
      <c r="E27" s="869"/>
      <c r="F27" s="869"/>
      <c r="G27" s="869"/>
      <c r="H27" s="869"/>
      <c r="I27" s="870"/>
      <c r="J27" s="139" t="s">
        <v>5</v>
      </c>
    </row>
    <row r="28" spans="1:10" x14ac:dyDescent="0.25">
      <c r="A28" s="879" t="s">
        <v>610</v>
      </c>
      <c r="B28" s="880"/>
      <c r="C28" s="880"/>
      <c r="D28" s="880"/>
      <c r="E28" s="880"/>
      <c r="F28" s="880"/>
      <c r="G28" s="880"/>
      <c r="H28" s="880"/>
      <c r="I28" s="485">
        <v>95.42</v>
      </c>
      <c r="J28" s="142" t="s">
        <v>159</v>
      </c>
    </row>
    <row r="29" spans="1:10" x14ac:dyDescent="0.25">
      <c r="A29" s="877" t="s">
        <v>611</v>
      </c>
      <c r="B29" s="878"/>
      <c r="C29" s="878"/>
      <c r="D29" s="878"/>
      <c r="E29" s="878"/>
      <c r="F29" s="878"/>
      <c r="G29" s="878"/>
      <c r="H29" s="878"/>
      <c r="I29" s="580">
        <v>24.52</v>
      </c>
      <c r="J29" s="143" t="s">
        <v>160</v>
      </c>
    </row>
    <row r="30" spans="1:10" x14ac:dyDescent="0.25">
      <c r="A30" s="877" t="s">
        <v>609</v>
      </c>
      <c r="B30" s="878"/>
      <c r="C30" s="878"/>
      <c r="D30" s="878"/>
      <c r="E30" s="878"/>
      <c r="F30" s="878"/>
      <c r="G30" s="878"/>
      <c r="H30" s="878"/>
      <c r="I30" s="580">
        <v>24.52</v>
      </c>
      <c r="J30" s="143" t="s">
        <v>160</v>
      </c>
    </row>
    <row r="31" spans="1:10" x14ac:dyDescent="0.25">
      <c r="A31" s="877" t="s">
        <v>2989</v>
      </c>
      <c r="B31" s="878"/>
      <c r="C31" s="878"/>
      <c r="D31" s="878"/>
      <c r="E31" s="878"/>
      <c r="F31" s="878"/>
      <c r="G31" s="878"/>
      <c r="H31" s="878"/>
      <c r="I31" s="580">
        <f>18.61+409</f>
        <v>427.61</v>
      </c>
      <c r="J31" s="143" t="s">
        <v>92</v>
      </c>
    </row>
    <row r="32" spans="1:10" s="450" customFormat="1" x14ac:dyDescent="0.25">
      <c r="A32" s="877" t="s">
        <v>2991</v>
      </c>
      <c r="B32" s="878"/>
      <c r="C32" s="878"/>
      <c r="D32" s="878"/>
      <c r="E32" s="878"/>
      <c r="F32" s="878"/>
      <c r="G32" s="878"/>
      <c r="H32" s="878"/>
      <c r="I32" s="580">
        <f>36.66+1005</f>
        <v>1041.6600000000001</v>
      </c>
      <c r="J32" s="143" t="s">
        <v>92</v>
      </c>
    </row>
    <row r="33" spans="1:10" x14ac:dyDescent="0.25">
      <c r="A33" s="877" t="s">
        <v>613</v>
      </c>
      <c r="B33" s="878"/>
      <c r="C33" s="878"/>
      <c r="D33" s="878"/>
      <c r="E33" s="878"/>
      <c r="F33" s="878"/>
      <c r="G33" s="878"/>
      <c r="H33" s="878"/>
      <c r="I33" s="580">
        <v>2037.37</v>
      </c>
      <c r="J33" s="143" t="s">
        <v>92</v>
      </c>
    </row>
    <row r="34" spans="1:10" ht="15.75" thickBot="1" x14ac:dyDescent="0.3">
      <c r="A34" s="877" t="s">
        <v>1604</v>
      </c>
      <c r="B34" s="878"/>
      <c r="C34" s="878"/>
      <c r="D34" s="878"/>
      <c r="E34" s="878"/>
      <c r="F34" s="878"/>
      <c r="G34" s="878"/>
      <c r="H34" s="878"/>
      <c r="I34" s="580">
        <v>359.52</v>
      </c>
      <c r="J34" s="143" t="s">
        <v>92</v>
      </c>
    </row>
    <row r="35" spans="1:10" ht="18" thickBot="1" x14ac:dyDescent="0.3">
      <c r="A35" s="874" t="s">
        <v>567</v>
      </c>
      <c r="B35" s="875"/>
      <c r="C35" s="875"/>
      <c r="D35" s="875"/>
      <c r="E35" s="875"/>
      <c r="F35" s="875"/>
      <c r="G35" s="875"/>
      <c r="H35" s="875"/>
      <c r="I35" s="876"/>
      <c r="J35" s="139" t="s">
        <v>5</v>
      </c>
    </row>
    <row r="36" spans="1:10" x14ac:dyDescent="0.25">
      <c r="A36" s="723" t="s">
        <v>615</v>
      </c>
      <c r="B36" s="724"/>
      <c r="C36" s="724"/>
      <c r="D36" s="724"/>
      <c r="E36" s="724"/>
      <c r="F36" s="724"/>
      <c r="G36" s="724"/>
      <c r="H36" s="724"/>
      <c r="I36" s="485">
        <f>18.89+100.54</f>
        <v>119.43</v>
      </c>
      <c r="J36" s="142" t="s">
        <v>159</v>
      </c>
    </row>
    <row r="37" spans="1:10" x14ac:dyDescent="0.25">
      <c r="A37" s="714" t="s">
        <v>611</v>
      </c>
      <c r="B37" s="715"/>
      <c r="C37" s="715"/>
      <c r="D37" s="715"/>
      <c r="E37" s="715"/>
      <c r="F37" s="715"/>
      <c r="G37" s="715"/>
      <c r="H37" s="715"/>
      <c r="I37" s="580">
        <f>8.61</f>
        <v>8.61</v>
      </c>
      <c r="J37" s="143" t="s">
        <v>160</v>
      </c>
    </row>
    <row r="38" spans="1:10" x14ac:dyDescent="0.25">
      <c r="A38" s="714" t="s">
        <v>609</v>
      </c>
      <c r="B38" s="715"/>
      <c r="C38" s="715"/>
      <c r="D38" s="715"/>
      <c r="E38" s="715"/>
      <c r="F38" s="715"/>
      <c r="G38" s="715"/>
      <c r="H38" s="715"/>
      <c r="I38" s="580">
        <f>I37</f>
        <v>8.61</v>
      </c>
      <c r="J38" s="143" t="s">
        <v>160</v>
      </c>
    </row>
    <row r="39" spans="1:10" x14ac:dyDescent="0.25">
      <c r="A39" s="714" t="s">
        <v>612</v>
      </c>
      <c r="B39" s="715"/>
      <c r="C39" s="715"/>
      <c r="D39" s="715"/>
      <c r="E39" s="715"/>
      <c r="F39" s="715"/>
      <c r="G39" s="715"/>
      <c r="H39" s="715"/>
      <c r="I39" s="580">
        <f>121.9</f>
        <v>121.9</v>
      </c>
      <c r="J39" s="143" t="s">
        <v>92</v>
      </c>
    </row>
    <row r="40" spans="1:10" x14ac:dyDescent="0.25">
      <c r="A40" s="714" t="s">
        <v>616</v>
      </c>
      <c r="B40" s="715"/>
      <c r="C40" s="715"/>
      <c r="D40" s="715"/>
      <c r="E40" s="715"/>
      <c r="F40" s="715"/>
      <c r="G40" s="715"/>
      <c r="H40" s="715"/>
      <c r="I40" s="580"/>
      <c r="J40" s="143" t="s">
        <v>92</v>
      </c>
    </row>
    <row r="41" spans="1:10" x14ac:dyDescent="0.25">
      <c r="A41" s="877" t="s">
        <v>2992</v>
      </c>
      <c r="B41" s="878"/>
      <c r="C41" s="878"/>
      <c r="D41" s="878"/>
      <c r="E41" s="878"/>
      <c r="F41" s="878"/>
      <c r="G41" s="878"/>
      <c r="H41" s="878"/>
      <c r="I41" s="584">
        <f>4.4</f>
        <v>4.4000000000000004</v>
      </c>
      <c r="J41" s="143" t="s">
        <v>92</v>
      </c>
    </row>
    <row r="42" spans="1:10" x14ac:dyDescent="0.25">
      <c r="A42" s="714" t="s">
        <v>613</v>
      </c>
      <c r="B42" s="715"/>
      <c r="C42" s="715"/>
      <c r="D42" s="715"/>
      <c r="E42" s="715"/>
      <c r="F42" s="715"/>
      <c r="G42" s="715"/>
      <c r="H42" s="715"/>
      <c r="I42" s="584">
        <f>340.1</f>
        <v>340.1</v>
      </c>
      <c r="J42" s="143" t="s">
        <v>92</v>
      </c>
    </row>
    <row r="43" spans="1:10" ht="15.75" thickBot="1" x14ac:dyDescent="0.3">
      <c r="A43" s="796" t="s">
        <v>614</v>
      </c>
      <c r="B43" s="797"/>
      <c r="C43" s="797"/>
      <c r="D43" s="797"/>
      <c r="E43" s="797"/>
      <c r="F43" s="797"/>
      <c r="G43" s="797"/>
      <c r="H43" s="797"/>
      <c r="I43" s="585">
        <f>47.3</f>
        <v>47.3</v>
      </c>
      <c r="J43" s="146" t="s">
        <v>92</v>
      </c>
    </row>
    <row r="44" spans="1:10" ht="15.75" thickBot="1" x14ac:dyDescent="0.3">
      <c r="A44" s="137"/>
      <c r="B44" s="137"/>
      <c r="C44" s="137"/>
      <c r="D44" s="137"/>
      <c r="E44" s="137"/>
      <c r="F44" s="137"/>
      <c r="G44" s="137"/>
      <c r="H44" s="137"/>
    </row>
    <row r="45" spans="1:10" ht="18" thickBot="1" x14ac:dyDescent="0.3">
      <c r="A45" s="871" t="s">
        <v>572</v>
      </c>
      <c r="B45" s="872"/>
      <c r="C45" s="872"/>
      <c r="D45" s="872"/>
      <c r="E45" s="872"/>
      <c r="F45" s="872"/>
      <c r="G45" s="872"/>
      <c r="H45" s="872"/>
      <c r="I45" s="873"/>
    </row>
    <row r="46" spans="1:10" ht="18" thickBot="1" x14ac:dyDescent="0.3">
      <c r="A46" s="868" t="s">
        <v>573</v>
      </c>
      <c r="B46" s="869"/>
      <c r="C46" s="869"/>
      <c r="D46" s="869"/>
      <c r="E46" s="869"/>
      <c r="F46" s="869"/>
      <c r="G46" s="869"/>
      <c r="H46" s="869"/>
      <c r="I46" s="870"/>
      <c r="J46" s="139" t="s">
        <v>5</v>
      </c>
    </row>
    <row r="47" spans="1:10" x14ac:dyDescent="0.25">
      <c r="A47" s="723" t="s">
        <v>615</v>
      </c>
      <c r="B47" s="724"/>
      <c r="C47" s="724"/>
      <c r="D47" s="724"/>
      <c r="E47" s="724"/>
      <c r="F47" s="724"/>
      <c r="G47" s="724"/>
      <c r="H47" s="724"/>
      <c r="I47" s="485">
        <f>3.3+117.96+10.08</f>
        <v>131.34</v>
      </c>
      <c r="J47" s="142" t="s">
        <v>159</v>
      </c>
    </row>
    <row r="48" spans="1:10" x14ac:dyDescent="0.25">
      <c r="A48" s="714" t="s">
        <v>611</v>
      </c>
      <c r="B48" s="715"/>
      <c r="C48" s="715"/>
      <c r="D48" s="715"/>
      <c r="E48" s="715"/>
      <c r="F48" s="715"/>
      <c r="G48" s="715"/>
      <c r="H48" s="715"/>
      <c r="I48" s="580">
        <f>0.33+7.83+0.72</f>
        <v>8.8800000000000008</v>
      </c>
      <c r="J48" s="143" t="s">
        <v>160</v>
      </c>
    </row>
    <row r="49" spans="1:10" x14ac:dyDescent="0.25">
      <c r="A49" s="714" t="s">
        <v>609</v>
      </c>
      <c r="B49" s="715"/>
      <c r="C49" s="715"/>
      <c r="D49" s="715"/>
      <c r="E49" s="715"/>
      <c r="F49" s="715"/>
      <c r="G49" s="715"/>
      <c r="H49" s="715"/>
      <c r="I49" s="580">
        <f>I48</f>
        <v>8.8800000000000008</v>
      </c>
      <c r="J49" s="143" t="s">
        <v>160</v>
      </c>
    </row>
    <row r="50" spans="1:10" x14ac:dyDescent="0.25">
      <c r="A50" s="714" t="s">
        <v>612</v>
      </c>
      <c r="B50" s="715"/>
      <c r="C50" s="715"/>
      <c r="D50" s="715"/>
      <c r="E50" s="715"/>
      <c r="F50" s="715"/>
      <c r="G50" s="715"/>
      <c r="H50" s="715"/>
      <c r="I50" s="580">
        <f>423+30.2</f>
        <v>453.2</v>
      </c>
      <c r="J50" s="143" t="s">
        <v>92</v>
      </c>
    </row>
    <row r="51" spans="1:10" ht="15.75" thickBot="1" x14ac:dyDescent="0.3">
      <c r="A51" s="714" t="s">
        <v>1604</v>
      </c>
      <c r="B51" s="715"/>
      <c r="C51" s="715"/>
      <c r="D51" s="715"/>
      <c r="E51" s="715"/>
      <c r="F51" s="715"/>
      <c r="G51" s="715"/>
      <c r="H51" s="715"/>
      <c r="I51" s="584">
        <f>1621.2+125.1</f>
        <v>1746.3</v>
      </c>
      <c r="J51" s="143" t="s">
        <v>92</v>
      </c>
    </row>
    <row r="52" spans="1:10" ht="18" thickBot="1" x14ac:dyDescent="0.3">
      <c r="A52" s="868" t="s">
        <v>576</v>
      </c>
      <c r="B52" s="869"/>
      <c r="C52" s="869"/>
      <c r="D52" s="869"/>
      <c r="E52" s="869"/>
      <c r="F52" s="869"/>
      <c r="G52" s="869"/>
      <c r="H52" s="869"/>
      <c r="I52" s="870"/>
      <c r="J52" s="139" t="s">
        <v>5</v>
      </c>
    </row>
    <row r="53" spans="1:10" x14ac:dyDescent="0.25">
      <c r="A53" s="723" t="s">
        <v>615</v>
      </c>
      <c r="B53" s="724"/>
      <c r="C53" s="724"/>
      <c r="D53" s="724"/>
      <c r="E53" s="724"/>
      <c r="F53" s="724"/>
      <c r="G53" s="724"/>
      <c r="H53" s="724"/>
      <c r="I53" s="485">
        <f>6.61+35.28+18.95+88.69</f>
        <v>149.53</v>
      </c>
      <c r="J53" s="142" t="s">
        <v>159</v>
      </c>
    </row>
    <row r="54" spans="1:10" x14ac:dyDescent="0.25">
      <c r="A54" s="714" t="s">
        <v>611</v>
      </c>
      <c r="B54" s="715"/>
      <c r="C54" s="715"/>
      <c r="D54" s="715"/>
      <c r="E54" s="715"/>
      <c r="F54" s="715"/>
      <c r="G54" s="715"/>
      <c r="H54" s="715"/>
      <c r="I54" s="580">
        <f>2.96+8.82</f>
        <v>11.780000000000001</v>
      </c>
      <c r="J54" s="143" t="s">
        <v>160</v>
      </c>
    </row>
    <row r="55" spans="1:10" x14ac:dyDescent="0.25">
      <c r="A55" s="714" t="s">
        <v>609</v>
      </c>
      <c r="B55" s="715"/>
      <c r="C55" s="715"/>
      <c r="D55" s="715"/>
      <c r="E55" s="715"/>
      <c r="F55" s="715"/>
      <c r="G55" s="715"/>
      <c r="H55" s="715"/>
      <c r="I55" s="580">
        <f>I54</f>
        <v>11.780000000000001</v>
      </c>
      <c r="J55" s="143" t="s">
        <v>160</v>
      </c>
    </row>
    <row r="56" spans="1:10" x14ac:dyDescent="0.25">
      <c r="A56" s="714" t="s">
        <v>612</v>
      </c>
      <c r="B56" s="715"/>
      <c r="C56" s="715"/>
      <c r="D56" s="715"/>
      <c r="E56" s="715"/>
      <c r="F56" s="715"/>
      <c r="G56" s="715"/>
      <c r="H56" s="715"/>
      <c r="I56" s="580">
        <f>43.9+126.5</f>
        <v>170.4</v>
      </c>
      <c r="J56" s="143" t="s">
        <v>92</v>
      </c>
    </row>
    <row r="57" spans="1:10" x14ac:dyDescent="0.25">
      <c r="A57" s="714" t="s">
        <v>616</v>
      </c>
      <c r="B57" s="715"/>
      <c r="C57" s="715"/>
      <c r="D57" s="715"/>
      <c r="E57" s="715"/>
      <c r="F57" s="715"/>
      <c r="G57" s="715"/>
      <c r="H57" s="715"/>
      <c r="I57" s="580"/>
      <c r="J57" s="143" t="s">
        <v>92</v>
      </c>
    </row>
    <row r="58" spans="1:10" x14ac:dyDescent="0.25">
      <c r="A58" s="714" t="s">
        <v>617</v>
      </c>
      <c r="B58" s="715"/>
      <c r="C58" s="715"/>
      <c r="D58" s="715"/>
      <c r="E58" s="715"/>
      <c r="F58" s="715"/>
      <c r="G58" s="715"/>
      <c r="H58" s="715"/>
      <c r="I58" s="580">
        <f>3.5</f>
        <v>3.5</v>
      </c>
      <c r="J58" s="143" t="s">
        <v>92</v>
      </c>
    </row>
    <row r="59" spans="1:10" ht="15.75" thickBot="1" x14ac:dyDescent="0.3">
      <c r="A59" s="796" t="s">
        <v>613</v>
      </c>
      <c r="B59" s="797"/>
      <c r="C59" s="797"/>
      <c r="D59" s="797"/>
      <c r="E59" s="797"/>
      <c r="F59" s="797"/>
      <c r="G59" s="797"/>
      <c r="H59" s="797"/>
      <c r="I59" s="585">
        <f>123.8+292.8</f>
        <v>416.6</v>
      </c>
      <c r="J59" s="146" t="s">
        <v>92</v>
      </c>
    </row>
    <row r="60" spans="1:10" ht="15.75" thickBot="1" x14ac:dyDescent="0.3">
      <c r="A60" s="796" t="s">
        <v>1604</v>
      </c>
      <c r="B60" s="797"/>
      <c r="C60" s="797"/>
      <c r="D60" s="797"/>
      <c r="E60" s="797"/>
      <c r="F60" s="797"/>
      <c r="G60" s="797"/>
      <c r="H60" s="797"/>
      <c r="I60" s="585">
        <f>96.6</f>
        <v>96.6</v>
      </c>
      <c r="J60" s="146" t="s">
        <v>92</v>
      </c>
    </row>
    <row r="61" spans="1:10" s="450" customFormat="1" ht="15.75" thickBot="1" x14ac:dyDescent="0.3">
      <c r="A61" s="796" t="s">
        <v>618</v>
      </c>
      <c r="B61" s="797"/>
      <c r="C61" s="797"/>
      <c r="D61" s="797"/>
      <c r="E61" s="797"/>
      <c r="F61" s="797"/>
      <c r="G61" s="797"/>
      <c r="H61" s="797"/>
      <c r="I61" s="585">
        <f>93.9</f>
        <v>93.9</v>
      </c>
      <c r="J61" s="146" t="s">
        <v>92</v>
      </c>
    </row>
    <row r="62" spans="1:10" ht="18" thickBot="1" x14ac:dyDescent="0.3">
      <c r="A62" s="868" t="s">
        <v>583</v>
      </c>
      <c r="B62" s="869"/>
      <c r="C62" s="869"/>
      <c r="D62" s="869"/>
      <c r="E62" s="869"/>
      <c r="F62" s="869"/>
      <c r="G62" s="869"/>
      <c r="H62" s="869"/>
      <c r="I62" s="870"/>
      <c r="J62" s="139" t="s">
        <v>5</v>
      </c>
    </row>
    <row r="63" spans="1:10" ht="15.75" thickBot="1" x14ac:dyDescent="0.3">
      <c r="A63" s="723" t="s">
        <v>1605</v>
      </c>
      <c r="B63" s="724"/>
      <c r="C63" s="724"/>
      <c r="D63" s="724"/>
      <c r="E63" s="724"/>
      <c r="F63" s="724"/>
      <c r="G63" s="724"/>
      <c r="H63" s="724"/>
      <c r="I63" s="485">
        <f>118.1</f>
        <v>118.1</v>
      </c>
      <c r="J63" s="142" t="s">
        <v>159</v>
      </c>
    </row>
    <row r="64" spans="1:10" s="463" customFormat="1" x14ac:dyDescent="0.25">
      <c r="A64" s="723" t="s">
        <v>3051</v>
      </c>
      <c r="B64" s="724"/>
      <c r="C64" s="724"/>
      <c r="D64" s="724"/>
      <c r="E64" s="724"/>
      <c r="F64" s="724"/>
      <c r="G64" s="724"/>
      <c r="H64" s="724"/>
      <c r="I64" s="485">
        <f>118.1*1.2</f>
        <v>141.72</v>
      </c>
      <c r="J64" s="142" t="s">
        <v>159</v>
      </c>
    </row>
    <row r="65" spans="1:10" ht="15.75" thickBot="1" x14ac:dyDescent="0.3">
      <c r="A65" s="881"/>
      <c r="B65" s="881"/>
      <c r="C65" s="881"/>
      <c r="D65" s="881"/>
      <c r="E65" s="881"/>
      <c r="F65" s="881"/>
      <c r="G65" s="881"/>
      <c r="H65" s="881"/>
      <c r="I65" s="881"/>
      <c r="J65" s="881"/>
    </row>
    <row r="66" spans="1:10" ht="18" thickBot="1" x14ac:dyDescent="0.3">
      <c r="A66" s="871" t="s">
        <v>619</v>
      </c>
      <c r="B66" s="872"/>
      <c r="C66" s="872"/>
      <c r="D66" s="872"/>
      <c r="E66" s="872"/>
      <c r="F66" s="872"/>
      <c r="G66" s="872"/>
      <c r="H66" s="872"/>
      <c r="I66" s="873"/>
    </row>
    <row r="67" spans="1:10" ht="18" thickBot="1" x14ac:dyDescent="0.3">
      <c r="A67" s="868" t="s">
        <v>74</v>
      </c>
      <c r="B67" s="869"/>
      <c r="C67" s="869"/>
      <c r="D67" s="869"/>
      <c r="E67" s="869"/>
      <c r="F67" s="869"/>
      <c r="G67" s="869"/>
      <c r="H67" s="869"/>
      <c r="I67" s="870"/>
      <c r="J67" s="139" t="s">
        <v>5</v>
      </c>
    </row>
    <row r="68" spans="1:10" x14ac:dyDescent="0.25">
      <c r="A68" s="723" t="s">
        <v>578</v>
      </c>
      <c r="B68" s="724"/>
      <c r="C68" s="724"/>
      <c r="D68" s="724"/>
      <c r="E68" s="724"/>
      <c r="F68" s="724"/>
      <c r="G68" s="724"/>
      <c r="H68" s="724"/>
      <c r="I68" s="485">
        <f>5474.79+42.2</f>
        <v>5516.99</v>
      </c>
      <c r="J68" s="143" t="s">
        <v>92</v>
      </c>
    </row>
    <row r="69" spans="1:10" x14ac:dyDescent="0.25">
      <c r="A69" s="714" t="s">
        <v>580</v>
      </c>
      <c r="B69" s="715"/>
      <c r="C69" s="715"/>
      <c r="D69" s="715"/>
      <c r="E69" s="715"/>
      <c r="F69" s="715"/>
      <c r="G69" s="715"/>
      <c r="H69" s="715"/>
      <c r="I69" s="580">
        <f>307.95</f>
        <v>307.95</v>
      </c>
      <c r="J69" s="143" t="s">
        <v>159</v>
      </c>
    </row>
    <row r="70" spans="1:10" ht="15.75" thickBot="1" x14ac:dyDescent="0.3">
      <c r="A70" s="860" t="s">
        <v>582</v>
      </c>
      <c r="B70" s="861"/>
      <c r="C70" s="861"/>
      <c r="D70" s="861"/>
      <c r="E70" s="861"/>
      <c r="F70" s="861"/>
      <c r="G70" s="861"/>
      <c r="H70" s="862"/>
      <c r="I70" s="580">
        <f>66.38</f>
        <v>66.38</v>
      </c>
      <c r="J70" s="143" t="s">
        <v>92</v>
      </c>
    </row>
  </sheetData>
  <mergeCells count="67">
    <mergeCell ref="A70:H70"/>
    <mergeCell ref="A64:H64"/>
    <mergeCell ref="A65:J65"/>
    <mergeCell ref="A12:H12"/>
    <mergeCell ref="A1:J1"/>
    <mergeCell ref="A3:I3"/>
    <mergeCell ref="A4:H4"/>
    <mergeCell ref="A5:H5"/>
    <mergeCell ref="A6:H6"/>
    <mergeCell ref="A8:I8"/>
    <mergeCell ref="A9:I9"/>
    <mergeCell ref="A11:H11"/>
    <mergeCell ref="A10:H10"/>
    <mergeCell ref="A22:H2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4:H34"/>
    <mergeCell ref="A23:I23"/>
    <mergeCell ref="A24:H24"/>
    <mergeCell ref="A25:H25"/>
    <mergeCell ref="A26:H26"/>
    <mergeCell ref="A27:I27"/>
    <mergeCell ref="A28:H28"/>
    <mergeCell ref="A29:H29"/>
    <mergeCell ref="A30:H30"/>
    <mergeCell ref="A31:H31"/>
    <mergeCell ref="A33:H33"/>
    <mergeCell ref="A32:H32"/>
    <mergeCell ref="A47:H47"/>
    <mergeCell ref="A35:I35"/>
    <mergeCell ref="A36:H36"/>
    <mergeCell ref="A37:H37"/>
    <mergeCell ref="A38:H38"/>
    <mergeCell ref="A39:H39"/>
    <mergeCell ref="A40:H40"/>
    <mergeCell ref="A41:H41"/>
    <mergeCell ref="A42:H42"/>
    <mergeCell ref="A43:H43"/>
    <mergeCell ref="A45:I45"/>
    <mergeCell ref="A46:I46"/>
    <mergeCell ref="A59:H59"/>
    <mergeCell ref="A48:H48"/>
    <mergeCell ref="A49:H49"/>
    <mergeCell ref="A50:H50"/>
    <mergeCell ref="A51:H51"/>
    <mergeCell ref="A52:I52"/>
    <mergeCell ref="A53:H53"/>
    <mergeCell ref="A54:H54"/>
    <mergeCell ref="A55:H55"/>
    <mergeCell ref="A56:H56"/>
    <mergeCell ref="A57:H57"/>
    <mergeCell ref="A58:H58"/>
    <mergeCell ref="A69:H69"/>
    <mergeCell ref="A60:H60"/>
    <mergeCell ref="A62:I62"/>
    <mergeCell ref="A63:H63"/>
    <mergeCell ref="A66:I66"/>
    <mergeCell ref="A67:I67"/>
    <mergeCell ref="A68:H68"/>
    <mergeCell ref="A61:H6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K45"/>
  <sheetViews>
    <sheetView topLeftCell="A25" workbookViewId="0">
      <selection activeCell="O28" sqref="O28"/>
    </sheetView>
  </sheetViews>
  <sheetFormatPr defaultRowHeight="15" x14ac:dyDescent="0.25"/>
  <cols>
    <col min="1" max="7" width="9.140625" style="131"/>
    <col min="8" max="8" width="9" style="131" customWidth="1"/>
    <col min="9" max="9" width="9.5703125" style="131" bestFit="1" customWidth="1"/>
    <col min="10" max="16384" width="9.140625" style="131"/>
  </cols>
  <sheetData>
    <row r="1" spans="1:11" ht="60" customHeight="1" thickBot="1" x14ac:dyDescent="0.3">
      <c r="A1" s="718" t="s">
        <v>3004</v>
      </c>
      <c r="B1" s="719"/>
      <c r="C1" s="719"/>
      <c r="D1" s="719"/>
      <c r="E1" s="719"/>
      <c r="F1" s="719"/>
      <c r="G1" s="719"/>
      <c r="H1" s="719"/>
      <c r="I1" s="719"/>
      <c r="J1" s="720"/>
    </row>
    <row r="3" spans="1:11" ht="15.75" thickBot="1" x14ac:dyDescent="0.3"/>
    <row r="4" spans="1:11" ht="18" thickBot="1" x14ac:dyDescent="0.3">
      <c r="A4" s="883" t="s">
        <v>546</v>
      </c>
      <c r="B4" s="884"/>
      <c r="C4" s="884"/>
      <c r="D4" s="884"/>
      <c r="E4" s="884"/>
      <c r="F4" s="884"/>
      <c r="G4" s="884"/>
      <c r="H4" s="884"/>
      <c r="I4" s="885"/>
    </row>
    <row r="5" spans="1:11" ht="18" thickBot="1" x14ac:dyDescent="0.3">
      <c r="A5" s="868" t="s">
        <v>547</v>
      </c>
      <c r="B5" s="869"/>
      <c r="C5" s="869"/>
      <c r="D5" s="869"/>
      <c r="E5" s="869"/>
      <c r="F5" s="869"/>
      <c r="G5" s="869"/>
      <c r="H5" s="869"/>
      <c r="I5" s="870"/>
      <c r="J5" s="141" t="s">
        <v>5</v>
      </c>
    </row>
    <row r="6" spans="1:11" ht="45" customHeight="1" x14ac:dyDescent="0.25">
      <c r="A6" s="764" t="s">
        <v>2994</v>
      </c>
      <c r="B6" s="765"/>
      <c r="C6" s="765"/>
      <c r="D6" s="765"/>
      <c r="E6" s="765"/>
      <c r="F6" s="765"/>
      <c r="G6" s="765"/>
      <c r="H6" s="765"/>
      <c r="I6" s="482">
        <v>43.654300000000006</v>
      </c>
      <c r="J6" s="142" t="s">
        <v>160</v>
      </c>
    </row>
    <row r="7" spans="1:11" ht="45" customHeight="1" x14ac:dyDescent="0.25">
      <c r="A7" s="756" t="s">
        <v>599</v>
      </c>
      <c r="B7" s="757"/>
      <c r="C7" s="757"/>
      <c r="D7" s="757"/>
      <c r="E7" s="757"/>
      <c r="F7" s="757"/>
      <c r="G7" s="757"/>
      <c r="H7" s="757"/>
      <c r="I7" s="486" t="s">
        <v>154</v>
      </c>
      <c r="J7" s="143" t="s">
        <v>160</v>
      </c>
    </row>
    <row r="8" spans="1:11" ht="22.5" customHeight="1" x14ac:dyDescent="0.25">
      <c r="A8" s="764" t="s">
        <v>600</v>
      </c>
      <c r="B8" s="765"/>
      <c r="C8" s="765"/>
      <c r="D8" s="765"/>
      <c r="E8" s="765"/>
      <c r="F8" s="765"/>
      <c r="G8" s="765"/>
      <c r="H8" s="765"/>
      <c r="I8" s="485"/>
      <c r="J8" s="143" t="s">
        <v>160</v>
      </c>
    </row>
    <row r="9" spans="1:11" ht="29.25" customHeight="1" x14ac:dyDescent="0.25">
      <c r="A9" s="764" t="s">
        <v>2995</v>
      </c>
      <c r="B9" s="765"/>
      <c r="C9" s="765"/>
      <c r="D9" s="765"/>
      <c r="E9" s="765"/>
      <c r="F9" s="765"/>
      <c r="G9" s="765"/>
      <c r="H9" s="765"/>
      <c r="I9" s="482">
        <v>33.794300000000007</v>
      </c>
      <c r="J9" s="143" t="s">
        <v>160</v>
      </c>
    </row>
    <row r="10" spans="1:11" ht="27.75" customHeight="1" x14ac:dyDescent="0.25">
      <c r="A10" s="815" t="s">
        <v>2996</v>
      </c>
      <c r="B10" s="816"/>
      <c r="C10" s="816"/>
      <c r="D10" s="816"/>
      <c r="E10" s="816"/>
      <c r="F10" s="816"/>
      <c r="G10" s="816"/>
      <c r="H10" s="817"/>
      <c r="I10" s="481">
        <v>51.358000000000004</v>
      </c>
      <c r="J10" s="143" t="s">
        <v>159</v>
      </c>
    </row>
    <row r="11" spans="1:11" ht="30" customHeight="1" x14ac:dyDescent="0.25">
      <c r="A11" s="756" t="s">
        <v>602</v>
      </c>
      <c r="B11" s="757"/>
      <c r="C11" s="757"/>
      <c r="D11" s="757"/>
      <c r="E11" s="757"/>
      <c r="F11" s="757"/>
      <c r="G11" s="757"/>
      <c r="H11" s="757"/>
      <c r="I11" s="486" t="s">
        <v>154</v>
      </c>
      <c r="J11" s="143" t="s">
        <v>159</v>
      </c>
    </row>
    <row r="12" spans="1:11" ht="29.25" customHeight="1" x14ac:dyDescent="0.25">
      <c r="A12" s="815" t="s">
        <v>2997</v>
      </c>
      <c r="B12" s="816"/>
      <c r="C12" s="816"/>
      <c r="D12" s="816"/>
      <c r="E12" s="816"/>
      <c r="F12" s="816"/>
      <c r="G12" s="816"/>
      <c r="H12" s="817"/>
      <c r="I12" s="481">
        <f>2.5679/0.05</f>
        <v>51.357999999999997</v>
      </c>
      <c r="J12" s="143" t="s">
        <v>159</v>
      </c>
    </row>
    <row r="13" spans="1:11" s="463" customFormat="1" ht="34.5" customHeight="1" x14ac:dyDescent="0.25">
      <c r="A13" s="764" t="s">
        <v>3002</v>
      </c>
      <c r="B13" s="765"/>
      <c r="C13" s="765"/>
      <c r="D13" s="765"/>
      <c r="E13" s="765"/>
      <c r="F13" s="765"/>
      <c r="G13" s="765"/>
      <c r="H13" s="765"/>
      <c r="I13" s="482">
        <v>13.803999999999998</v>
      </c>
      <c r="J13" s="143" t="s">
        <v>160</v>
      </c>
      <c r="K13" s="224"/>
    </row>
    <row r="14" spans="1:11" x14ac:dyDescent="0.25">
      <c r="A14" s="807" t="s">
        <v>603</v>
      </c>
      <c r="B14" s="808"/>
      <c r="C14" s="808"/>
      <c r="D14" s="808"/>
      <c r="E14" s="808"/>
      <c r="F14" s="808"/>
      <c r="G14" s="808"/>
      <c r="H14" s="808"/>
      <c r="I14" s="144" t="s">
        <v>154</v>
      </c>
      <c r="J14" s="143" t="s">
        <v>160</v>
      </c>
    </row>
    <row r="15" spans="1:11" x14ac:dyDescent="0.25">
      <c r="A15" s="815" t="s">
        <v>604</v>
      </c>
      <c r="B15" s="816"/>
      <c r="C15" s="816"/>
      <c r="D15" s="816"/>
      <c r="E15" s="816"/>
      <c r="F15" s="816"/>
      <c r="G15" s="816"/>
      <c r="H15" s="817"/>
      <c r="I15" s="144" t="s">
        <v>154</v>
      </c>
      <c r="J15" s="143" t="s">
        <v>160</v>
      </c>
    </row>
    <row r="16" spans="1:11" ht="30" customHeight="1" x14ac:dyDescent="0.25">
      <c r="A16" s="771" t="s">
        <v>605</v>
      </c>
      <c r="B16" s="772"/>
      <c r="C16" s="772"/>
      <c r="D16" s="772"/>
      <c r="E16" s="772"/>
      <c r="F16" s="772"/>
      <c r="G16" s="772"/>
      <c r="H16" s="772"/>
      <c r="I16" s="144" t="s">
        <v>154</v>
      </c>
      <c r="J16" s="143" t="s">
        <v>159</v>
      </c>
    </row>
    <row r="17" spans="1:11" ht="15" customHeight="1" x14ac:dyDescent="0.25">
      <c r="A17" s="757" t="s">
        <v>606</v>
      </c>
      <c r="B17" s="757"/>
      <c r="C17" s="757"/>
      <c r="D17" s="757"/>
      <c r="E17" s="757"/>
      <c r="F17" s="757"/>
      <c r="G17" s="757"/>
      <c r="H17" s="757"/>
      <c r="I17" s="161" t="s">
        <v>154</v>
      </c>
      <c r="J17" s="143" t="s">
        <v>159</v>
      </c>
    </row>
    <row r="18" spans="1:11" ht="15" customHeight="1" thickBot="1" x14ac:dyDescent="0.3">
      <c r="A18" s="886" t="s">
        <v>607</v>
      </c>
      <c r="B18" s="887"/>
      <c r="C18" s="887"/>
      <c r="D18" s="887"/>
      <c r="E18" s="887"/>
      <c r="F18" s="887"/>
      <c r="G18" s="887"/>
      <c r="H18" s="888"/>
      <c r="I18" s="145" t="s">
        <v>154</v>
      </c>
      <c r="J18" s="146" t="s">
        <v>159</v>
      </c>
    </row>
    <row r="19" spans="1:11" ht="15" customHeight="1" thickBot="1" x14ac:dyDescent="0.3">
      <c r="A19" s="868" t="s">
        <v>573</v>
      </c>
      <c r="B19" s="869"/>
      <c r="C19" s="869"/>
      <c r="D19" s="869"/>
      <c r="E19" s="869"/>
      <c r="F19" s="869"/>
      <c r="G19" s="869"/>
      <c r="H19" s="869"/>
      <c r="I19" s="870"/>
      <c r="J19" s="147" t="s">
        <v>5</v>
      </c>
    </row>
    <row r="20" spans="1:11" s="463" customFormat="1" x14ac:dyDescent="0.25">
      <c r="A20" s="723" t="s">
        <v>615</v>
      </c>
      <c r="B20" s="724"/>
      <c r="C20" s="724"/>
      <c r="D20" s="724"/>
      <c r="E20" s="724"/>
      <c r="F20" s="724"/>
      <c r="G20" s="724"/>
      <c r="H20" s="724"/>
      <c r="I20" s="482">
        <f>4.62</f>
        <v>4.62</v>
      </c>
      <c r="J20" s="142" t="s">
        <v>159</v>
      </c>
    </row>
    <row r="21" spans="1:11" s="463" customFormat="1" x14ac:dyDescent="0.25">
      <c r="A21" s="714" t="s">
        <v>611</v>
      </c>
      <c r="B21" s="715"/>
      <c r="C21" s="715"/>
      <c r="D21" s="715"/>
      <c r="E21" s="715"/>
      <c r="F21" s="715"/>
      <c r="G21" s="715"/>
      <c r="H21" s="715"/>
      <c r="I21" s="481">
        <f>0.33</f>
        <v>0.33</v>
      </c>
      <c r="J21" s="143" t="s">
        <v>160</v>
      </c>
    </row>
    <row r="22" spans="1:11" s="463" customFormat="1" x14ac:dyDescent="0.25">
      <c r="A22" s="714" t="s">
        <v>609</v>
      </c>
      <c r="B22" s="715"/>
      <c r="C22" s="715"/>
      <c r="D22" s="715"/>
      <c r="E22" s="715"/>
      <c r="F22" s="715"/>
      <c r="G22" s="715"/>
      <c r="H22" s="715"/>
      <c r="I22" s="481">
        <f>I21</f>
        <v>0.33</v>
      </c>
      <c r="J22" s="143" t="s">
        <v>160</v>
      </c>
    </row>
    <row r="23" spans="1:11" s="463" customFormat="1" x14ac:dyDescent="0.25">
      <c r="A23" s="714" t="s">
        <v>612</v>
      </c>
      <c r="B23" s="715"/>
      <c r="C23" s="715"/>
      <c r="D23" s="715"/>
      <c r="E23" s="715"/>
      <c r="F23" s="715"/>
      <c r="G23" s="715"/>
      <c r="H23" s="715"/>
      <c r="I23" s="481">
        <f>12.1</f>
        <v>12.1</v>
      </c>
      <c r="J23" s="143" t="s">
        <v>92</v>
      </c>
    </row>
    <row r="24" spans="1:11" s="463" customFormat="1" ht="15.75" thickBot="1" x14ac:dyDescent="0.3">
      <c r="A24" s="714" t="s">
        <v>613</v>
      </c>
      <c r="B24" s="715"/>
      <c r="C24" s="715"/>
      <c r="D24" s="715"/>
      <c r="E24" s="715"/>
      <c r="F24" s="715"/>
      <c r="G24" s="715"/>
      <c r="H24" s="715"/>
      <c r="I24" s="481">
        <f>84.7</f>
        <v>84.7</v>
      </c>
      <c r="J24" s="143" t="s">
        <v>92</v>
      </c>
    </row>
    <row r="25" spans="1:11" ht="18" thickBot="1" x14ac:dyDescent="0.3">
      <c r="A25" s="868" t="s">
        <v>2998</v>
      </c>
      <c r="B25" s="869"/>
      <c r="C25" s="869"/>
      <c r="D25" s="869"/>
      <c r="E25" s="869"/>
      <c r="F25" s="869"/>
      <c r="G25" s="869"/>
      <c r="H25" s="869"/>
      <c r="I25" s="870"/>
      <c r="J25" s="139" t="s">
        <v>5</v>
      </c>
    </row>
    <row r="26" spans="1:11" x14ac:dyDescent="0.25">
      <c r="A26" s="723" t="s">
        <v>610</v>
      </c>
      <c r="B26" s="724"/>
      <c r="C26" s="724"/>
      <c r="D26" s="724"/>
      <c r="E26" s="724"/>
      <c r="F26" s="724"/>
      <c r="G26" s="724"/>
      <c r="H26" s="724"/>
      <c r="I26" s="482">
        <v>12.32</v>
      </c>
      <c r="J26" s="142" t="s">
        <v>159</v>
      </c>
    </row>
    <row r="27" spans="1:11" x14ac:dyDescent="0.25">
      <c r="A27" s="714" t="s">
        <v>611</v>
      </c>
      <c r="B27" s="715"/>
      <c r="C27" s="715"/>
      <c r="D27" s="715"/>
      <c r="E27" s="715"/>
      <c r="F27" s="715"/>
      <c r="G27" s="715"/>
      <c r="H27" s="715"/>
      <c r="I27" s="481">
        <v>3.56</v>
      </c>
      <c r="J27" s="143" t="s">
        <v>160</v>
      </c>
    </row>
    <row r="28" spans="1:11" x14ac:dyDescent="0.25">
      <c r="A28" s="714" t="s">
        <v>609</v>
      </c>
      <c r="B28" s="715"/>
      <c r="C28" s="715"/>
      <c r="D28" s="715"/>
      <c r="E28" s="715"/>
      <c r="F28" s="715"/>
      <c r="G28" s="715"/>
      <c r="H28" s="715"/>
      <c r="I28" s="481">
        <v>3.56</v>
      </c>
      <c r="J28" s="143" t="s">
        <v>160</v>
      </c>
    </row>
    <row r="29" spans="1:11" x14ac:dyDescent="0.25">
      <c r="A29" s="714" t="s">
        <v>2999</v>
      </c>
      <c r="B29" s="715"/>
      <c r="C29" s="715"/>
      <c r="D29" s="715"/>
      <c r="E29" s="715"/>
      <c r="F29" s="715"/>
      <c r="G29" s="715"/>
      <c r="H29" s="715"/>
      <c r="I29" s="481">
        <v>97.289999999999992</v>
      </c>
      <c r="J29" s="143" t="s">
        <v>92</v>
      </c>
    </row>
    <row r="30" spans="1:11" s="463" customFormat="1" x14ac:dyDescent="0.25">
      <c r="A30" s="714" t="s">
        <v>3000</v>
      </c>
      <c r="B30" s="715"/>
      <c r="C30" s="715"/>
      <c r="D30" s="715"/>
      <c r="E30" s="715"/>
      <c r="F30" s="715"/>
      <c r="G30" s="715"/>
      <c r="H30" s="715"/>
      <c r="I30" s="481">
        <f>218</f>
        <v>218</v>
      </c>
      <c r="J30" s="143" t="s">
        <v>92</v>
      </c>
      <c r="K30" s="224"/>
    </row>
    <row r="31" spans="1:11" x14ac:dyDescent="0.25">
      <c r="A31" s="714" t="s">
        <v>613</v>
      </c>
      <c r="B31" s="715"/>
      <c r="C31" s="715"/>
      <c r="D31" s="715"/>
      <c r="E31" s="715"/>
      <c r="F31" s="715"/>
      <c r="G31" s="715"/>
      <c r="H31" s="715"/>
      <c r="I31" s="481">
        <v>161.15</v>
      </c>
      <c r="J31" s="143" t="s">
        <v>92</v>
      </c>
    </row>
    <row r="32" spans="1:11" s="463" customFormat="1" ht="15.75" thickBot="1" x14ac:dyDescent="0.3">
      <c r="A32" s="807" t="s">
        <v>3001</v>
      </c>
      <c r="B32" s="808"/>
      <c r="C32" s="808"/>
      <c r="D32" s="808"/>
      <c r="E32" s="808"/>
      <c r="F32" s="808"/>
      <c r="G32" s="808"/>
      <c r="H32" s="808"/>
      <c r="I32" s="483">
        <f>11*12</f>
        <v>132</v>
      </c>
      <c r="J32" s="146" t="s">
        <v>99</v>
      </c>
      <c r="K32" s="224"/>
    </row>
    <row r="33" spans="1:10" ht="18" thickBot="1" x14ac:dyDescent="0.3">
      <c r="A33" s="868" t="s">
        <v>3003</v>
      </c>
      <c r="B33" s="869"/>
      <c r="C33" s="869"/>
      <c r="D33" s="869"/>
      <c r="E33" s="869"/>
      <c r="F33" s="869"/>
      <c r="G33" s="869"/>
      <c r="H33" s="869"/>
      <c r="I33" s="870"/>
      <c r="J33" s="139" t="s">
        <v>5</v>
      </c>
    </row>
    <row r="34" spans="1:10" x14ac:dyDescent="0.25">
      <c r="A34" s="723" t="s">
        <v>615</v>
      </c>
      <c r="B34" s="724"/>
      <c r="C34" s="724"/>
      <c r="D34" s="724"/>
      <c r="E34" s="724"/>
      <c r="F34" s="724"/>
      <c r="G34" s="724"/>
      <c r="H34" s="724"/>
      <c r="I34" s="487">
        <v>31.49</v>
      </c>
      <c r="J34" s="142" t="s">
        <v>159</v>
      </c>
    </row>
    <row r="35" spans="1:10" x14ac:dyDescent="0.25">
      <c r="A35" s="714" t="s">
        <v>611</v>
      </c>
      <c r="B35" s="715"/>
      <c r="C35" s="715"/>
      <c r="D35" s="715"/>
      <c r="E35" s="715"/>
      <c r="F35" s="715"/>
      <c r="G35" s="715"/>
      <c r="H35" s="715"/>
      <c r="I35" s="484">
        <v>6.3</v>
      </c>
      <c r="J35" s="143" t="s">
        <v>160</v>
      </c>
    </row>
    <row r="36" spans="1:10" x14ac:dyDescent="0.25">
      <c r="A36" s="714" t="s">
        <v>609</v>
      </c>
      <c r="B36" s="715"/>
      <c r="C36" s="715"/>
      <c r="D36" s="715"/>
      <c r="E36" s="715"/>
      <c r="F36" s="715"/>
      <c r="G36" s="715"/>
      <c r="H36" s="715"/>
      <c r="I36" s="484">
        <v>6.3</v>
      </c>
      <c r="J36" s="143" t="s">
        <v>160</v>
      </c>
    </row>
    <row r="37" spans="1:10" x14ac:dyDescent="0.25">
      <c r="A37" s="714" t="s">
        <v>617</v>
      </c>
      <c r="B37" s="715"/>
      <c r="C37" s="715"/>
      <c r="D37" s="715"/>
      <c r="E37" s="715"/>
      <c r="F37" s="715"/>
      <c r="G37" s="715"/>
      <c r="H37" s="715"/>
      <c r="I37" s="489">
        <v>115.16</v>
      </c>
      <c r="J37" s="143" t="s">
        <v>92</v>
      </c>
    </row>
    <row r="38" spans="1:10" ht="15.75" thickBot="1" x14ac:dyDescent="0.3">
      <c r="A38" s="796" t="s">
        <v>614</v>
      </c>
      <c r="B38" s="797"/>
      <c r="C38" s="797"/>
      <c r="D38" s="797"/>
      <c r="E38" s="797"/>
      <c r="F38" s="797"/>
      <c r="G38" s="797"/>
      <c r="H38" s="797"/>
      <c r="I38" s="488">
        <v>255.23</v>
      </c>
      <c r="J38" s="146" t="s">
        <v>92</v>
      </c>
    </row>
    <row r="39" spans="1:10" x14ac:dyDescent="0.25">
      <c r="A39" s="137"/>
      <c r="B39" s="137"/>
      <c r="C39" s="137"/>
      <c r="D39" s="137"/>
      <c r="E39" s="137"/>
      <c r="F39" s="137"/>
      <c r="G39" s="137"/>
      <c r="H39" s="137"/>
    </row>
    <row r="40" spans="1:10" ht="15.75" thickBot="1" x14ac:dyDescent="0.3"/>
    <row r="41" spans="1:10" ht="18" thickBot="1" x14ac:dyDescent="0.3">
      <c r="A41" s="871" t="s">
        <v>619</v>
      </c>
      <c r="B41" s="872"/>
      <c r="C41" s="872"/>
      <c r="D41" s="872"/>
      <c r="E41" s="872"/>
      <c r="F41" s="872"/>
      <c r="G41" s="872"/>
      <c r="H41" s="872"/>
      <c r="I41" s="873"/>
    </row>
    <row r="42" spans="1:10" ht="18" thickBot="1" x14ac:dyDescent="0.3">
      <c r="A42" s="868" t="s">
        <v>74</v>
      </c>
      <c r="B42" s="869"/>
      <c r="C42" s="869"/>
      <c r="D42" s="869"/>
      <c r="E42" s="869"/>
      <c r="F42" s="869"/>
      <c r="G42" s="869"/>
      <c r="H42" s="869"/>
      <c r="I42" s="870"/>
      <c r="J42" s="139" t="s">
        <v>5</v>
      </c>
    </row>
    <row r="43" spans="1:10" x14ac:dyDescent="0.25">
      <c r="A43" s="723" t="s">
        <v>578</v>
      </c>
      <c r="B43" s="724"/>
      <c r="C43" s="724"/>
      <c r="D43" s="724"/>
      <c r="E43" s="724"/>
      <c r="F43" s="724"/>
      <c r="G43" s="724"/>
      <c r="H43" s="724"/>
      <c r="I43" s="482">
        <v>1273.76</v>
      </c>
      <c r="J43" s="143" t="s">
        <v>92</v>
      </c>
    </row>
    <row r="44" spans="1:10" x14ac:dyDescent="0.25">
      <c r="A44" s="714" t="s">
        <v>580</v>
      </c>
      <c r="B44" s="715"/>
      <c r="C44" s="715"/>
      <c r="D44" s="715"/>
      <c r="E44" s="715"/>
      <c r="F44" s="715"/>
      <c r="G44" s="715"/>
      <c r="H44" s="715"/>
      <c r="I44" s="481">
        <v>68.14</v>
      </c>
      <c r="J44" s="143" t="s">
        <v>159</v>
      </c>
    </row>
    <row r="45" spans="1:10" ht="15.75" thickBot="1" x14ac:dyDescent="0.3">
      <c r="A45" s="860" t="s">
        <v>582</v>
      </c>
      <c r="B45" s="861"/>
      <c r="C45" s="861"/>
      <c r="D45" s="861"/>
      <c r="E45" s="861"/>
      <c r="F45" s="861"/>
      <c r="G45" s="861"/>
      <c r="H45" s="862"/>
      <c r="I45" s="481">
        <v>24.72</v>
      </c>
      <c r="J45" s="143" t="s">
        <v>92</v>
      </c>
    </row>
  </sheetData>
  <mergeCells count="41">
    <mergeCell ref="A13:H13"/>
    <mergeCell ref="A23:H23"/>
    <mergeCell ref="A24:H24"/>
    <mergeCell ref="A45:H45"/>
    <mergeCell ref="A1:J1"/>
    <mergeCell ref="A12:H12"/>
    <mergeCell ref="A5:I5"/>
    <mergeCell ref="A6:H6"/>
    <mergeCell ref="A7:H7"/>
    <mergeCell ref="A4:I4"/>
    <mergeCell ref="A8:H8"/>
    <mergeCell ref="A9:H9"/>
    <mergeCell ref="A10:H10"/>
    <mergeCell ref="A11:H11"/>
    <mergeCell ref="A27:H27"/>
    <mergeCell ref="A14:H14"/>
    <mergeCell ref="A15:H15"/>
    <mergeCell ref="A16:H16"/>
    <mergeCell ref="A17:H17"/>
    <mergeCell ref="A18:H18"/>
    <mergeCell ref="A19:I19"/>
    <mergeCell ref="A20:H20"/>
    <mergeCell ref="A21:H21"/>
    <mergeCell ref="A22:H22"/>
    <mergeCell ref="A25:I25"/>
    <mergeCell ref="A26:H26"/>
    <mergeCell ref="A28:H28"/>
    <mergeCell ref="A29:H29"/>
    <mergeCell ref="A31:H31"/>
    <mergeCell ref="A33:I33"/>
    <mergeCell ref="A34:H34"/>
    <mergeCell ref="A35:H35"/>
    <mergeCell ref="A36:H36"/>
    <mergeCell ref="A37:H37"/>
    <mergeCell ref="A30:H30"/>
    <mergeCell ref="A32:H32"/>
    <mergeCell ref="A38:H38"/>
    <mergeCell ref="A42:I42"/>
    <mergeCell ref="A43:H43"/>
    <mergeCell ref="A44:H44"/>
    <mergeCell ref="A41:I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16"/>
  <sheetViews>
    <sheetView zoomScale="85" zoomScaleNormal="85" workbookViewId="0">
      <selection activeCell="I7" sqref="I7"/>
    </sheetView>
  </sheetViews>
  <sheetFormatPr defaultRowHeight="15.75" x14ac:dyDescent="0.25"/>
  <cols>
    <col min="1" max="1" width="61.42578125" style="246" customWidth="1"/>
    <col min="2" max="2" width="11" style="226" customWidth="1"/>
    <col min="3" max="3" width="12.140625" style="447" customWidth="1"/>
  </cols>
  <sheetData>
    <row r="1" spans="1:3" x14ac:dyDescent="0.25">
      <c r="A1" s="889"/>
      <c r="B1" s="889"/>
      <c r="C1" s="889"/>
    </row>
    <row r="2" spans="1:3" ht="15.75" customHeight="1" x14ac:dyDescent="0.25">
      <c r="A2" s="370" t="s">
        <v>2206</v>
      </c>
      <c r="B2" s="358"/>
      <c r="C2" s="354"/>
    </row>
    <row r="3" spans="1:3" ht="47.25" x14ac:dyDescent="0.25">
      <c r="A3" s="524" t="s">
        <v>3168</v>
      </c>
      <c r="B3" s="158" t="s">
        <v>10</v>
      </c>
      <c r="C3" s="354">
        <v>55</v>
      </c>
    </row>
    <row r="4" spans="1:3" ht="47.25" x14ac:dyDescent="0.25">
      <c r="A4" s="524" t="s">
        <v>3169</v>
      </c>
      <c r="B4" s="158" t="s">
        <v>10</v>
      </c>
      <c r="C4" s="354">
        <v>104.43</v>
      </c>
    </row>
    <row r="5" spans="1:3" ht="31.5" x14ac:dyDescent="0.25">
      <c r="A5" s="524" t="s">
        <v>3170</v>
      </c>
      <c r="B5" s="158" t="s">
        <v>3048</v>
      </c>
      <c r="C5" s="354">
        <v>2.1</v>
      </c>
    </row>
    <row r="6" spans="1:3" ht="31.5" x14ac:dyDescent="0.25">
      <c r="A6" s="524" t="s">
        <v>3171</v>
      </c>
      <c r="B6" s="158" t="s">
        <v>10</v>
      </c>
      <c r="C6" s="354">
        <v>54.72</v>
      </c>
    </row>
    <row r="7" spans="1:3" ht="110.25" x14ac:dyDescent="0.25">
      <c r="A7" s="356" t="s">
        <v>2207</v>
      </c>
      <c r="B7" s="358" t="s">
        <v>99</v>
      </c>
      <c r="C7" s="354">
        <v>12</v>
      </c>
    </row>
    <row r="8" spans="1:3" ht="47.25" x14ac:dyDescent="0.25">
      <c r="A8" s="524" t="s">
        <v>3172</v>
      </c>
      <c r="B8" s="158" t="s">
        <v>56</v>
      </c>
      <c r="C8" s="354">
        <v>68</v>
      </c>
    </row>
    <row r="9" spans="1:3" x14ac:dyDescent="0.25">
      <c r="A9" s="356" t="s">
        <v>2208</v>
      </c>
      <c r="B9" s="158" t="s">
        <v>56</v>
      </c>
      <c r="C9" s="354">
        <v>21</v>
      </c>
    </row>
    <row r="10" spans="1:3" x14ac:dyDescent="0.25">
      <c r="A10" s="356" t="s">
        <v>2209</v>
      </c>
      <c r="B10" s="158" t="s">
        <v>56</v>
      </c>
      <c r="C10" s="354">
        <v>4</v>
      </c>
    </row>
    <row r="11" spans="1:3" ht="31.5" x14ac:dyDescent="0.25">
      <c r="A11" s="356" t="s">
        <v>2210</v>
      </c>
      <c r="B11" s="158" t="s">
        <v>99</v>
      </c>
      <c r="C11" s="354">
        <v>258.44</v>
      </c>
    </row>
    <row r="12" spans="1:3" x14ac:dyDescent="0.25">
      <c r="A12" s="356" t="s">
        <v>2211</v>
      </c>
      <c r="B12" s="158" t="s">
        <v>273</v>
      </c>
      <c r="C12" s="354">
        <v>36</v>
      </c>
    </row>
    <row r="13" spans="1:3" ht="31.5" x14ac:dyDescent="0.25">
      <c r="A13" s="491" t="s">
        <v>3049</v>
      </c>
      <c r="B13" s="156" t="s">
        <v>99</v>
      </c>
      <c r="C13" s="354">
        <v>25.21</v>
      </c>
    </row>
    <row r="14" spans="1:3" x14ac:dyDescent="0.25">
      <c r="A14" s="356" t="s">
        <v>2212</v>
      </c>
      <c r="B14" s="158" t="s">
        <v>273</v>
      </c>
      <c r="C14" s="354">
        <v>22</v>
      </c>
    </row>
    <row r="15" spans="1:3" x14ac:dyDescent="0.25">
      <c r="A15" s="491" t="s">
        <v>3085</v>
      </c>
      <c r="B15" s="493" t="s">
        <v>56</v>
      </c>
      <c r="C15" s="492">
        <v>18</v>
      </c>
    </row>
    <row r="16" spans="1:3" x14ac:dyDescent="0.25">
      <c r="A16" s="491" t="s">
        <v>3088</v>
      </c>
      <c r="B16" s="156" t="s">
        <v>99</v>
      </c>
      <c r="C16" s="354">
        <v>97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 tint="0.59999389629810485"/>
  </sheetPr>
  <dimension ref="A1:G159"/>
  <sheetViews>
    <sheetView showGridLines="0" zoomScaleNormal="100" workbookViewId="0">
      <selection activeCell="D6" sqref="D6"/>
    </sheetView>
  </sheetViews>
  <sheetFormatPr defaultRowHeight="12.75" outlineLevelRow="1" x14ac:dyDescent="0.25"/>
  <cols>
    <col min="1" max="1" width="10.7109375" style="3" customWidth="1"/>
    <col min="2" max="2" width="55.85546875" style="4" customWidth="1"/>
    <col min="3" max="3" width="12.7109375" style="4" customWidth="1"/>
    <col min="4" max="4" width="17.42578125" style="3" customWidth="1"/>
    <col min="5" max="16384" width="9.140625" style="4"/>
  </cols>
  <sheetData>
    <row r="1" spans="1:4" ht="93" customHeight="1" x14ac:dyDescent="0.25">
      <c r="A1" s="37" t="s">
        <v>2</v>
      </c>
      <c r="B1" s="690" t="str">
        <f>'PLANILHA ORÇAMENTARIA'!B1:C1</f>
        <v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v>
      </c>
      <c r="C1" s="690"/>
      <c r="D1" s="690"/>
    </row>
    <row r="2" spans="1:4" x14ac:dyDescent="0.25">
      <c r="A2" s="92" t="s">
        <v>44</v>
      </c>
      <c r="B2" s="8" t="str">
        <f>'PLANILHA ORÇAMENTARIA'!B2</f>
        <v>Várzea Grande</v>
      </c>
      <c r="C2" s="8"/>
    </row>
    <row r="3" spans="1:4" x14ac:dyDescent="0.25">
      <c r="A3" s="98" t="s">
        <v>45</v>
      </c>
      <c r="B3" s="99" t="str">
        <f>'PLANILHA ORÇAMENTARIA'!B3</f>
        <v>Avenida Principal, S/ nº, Souza Lima - Varzea Grande/ MT</v>
      </c>
      <c r="C3" s="99"/>
      <c r="D3" s="100"/>
    </row>
    <row r="4" spans="1:4" x14ac:dyDescent="0.25">
      <c r="A4" s="25"/>
      <c r="B4" s="8"/>
      <c r="C4" s="8"/>
      <c r="D4" s="9"/>
    </row>
    <row r="5" spans="1:4" x14ac:dyDescent="0.25">
      <c r="A5" s="25" t="s">
        <v>34</v>
      </c>
      <c r="B5" s="27">
        <f>'PLANILHA ORÇAMENTARIA'!E2</f>
        <v>0.26729999999999998</v>
      </c>
      <c r="C5" s="108" t="s">
        <v>47</v>
      </c>
      <c r="D5" s="182">
        <f>D100/4392.02</f>
        <v>1922.2140063114468</v>
      </c>
    </row>
    <row r="6" spans="1:4" x14ac:dyDescent="0.25">
      <c r="A6" s="25" t="s">
        <v>46</v>
      </c>
      <c r="B6" s="694" t="str">
        <f>'PLANILHA ORÇAMENTARIA'!H2</f>
        <v xml:space="preserve">02/2017 SINAPI
</v>
      </c>
      <c r="C6" s="108" t="s">
        <v>245</v>
      </c>
      <c r="D6" s="33" t="s">
        <v>425</v>
      </c>
    </row>
    <row r="7" spans="1:4" ht="26.25" customHeight="1" x14ac:dyDescent="0.25">
      <c r="A7" s="92"/>
      <c r="B7" s="694"/>
      <c r="C7" s="8"/>
      <c r="D7" s="9"/>
    </row>
    <row r="8" spans="1:4" ht="13.5" thickBot="1" x14ac:dyDescent="0.3">
      <c r="A8" s="11"/>
      <c r="B8" s="180"/>
      <c r="C8" s="12"/>
      <c r="D8" s="13"/>
    </row>
    <row r="9" spans="1:4" ht="13.5" thickTop="1" x14ac:dyDescent="0.25">
      <c r="A9" s="691" t="s">
        <v>48</v>
      </c>
      <c r="B9" s="691"/>
      <c r="C9" s="691"/>
      <c r="D9" s="691"/>
    </row>
    <row r="10" spans="1:4" s="3" customFormat="1" x14ac:dyDescent="0.25">
      <c r="A10" s="24" t="s">
        <v>0</v>
      </c>
      <c r="B10" s="24" t="s">
        <v>1</v>
      </c>
      <c r="C10" s="2" t="s">
        <v>3</v>
      </c>
      <c r="D10" s="24" t="s">
        <v>37</v>
      </c>
    </row>
    <row r="11" spans="1:4" s="3" customFormat="1" x14ac:dyDescent="0.25">
      <c r="A11" s="693" t="s">
        <v>638</v>
      </c>
      <c r="B11" s="693"/>
      <c r="C11" s="693"/>
      <c r="D11" s="693"/>
    </row>
    <row r="12" spans="1:4" s="3" customFormat="1" outlineLevel="1" x14ac:dyDescent="0.25">
      <c r="A12" s="3" t="s">
        <v>15</v>
      </c>
      <c r="B12" s="94" t="str">
        <f>'PLANILHA ORÇAMENTARIA'!C8</f>
        <v>ADMINISTRAÇÃO DE OBRA</v>
      </c>
      <c r="C12" s="16">
        <f>D12/$D$100</f>
        <v>4.2280753129136567E-2</v>
      </c>
      <c r="D12" s="34">
        <f>'PLANILHA ORÇAMENTARIA'!H10</f>
        <v>356951.13</v>
      </c>
    </row>
    <row r="13" spans="1:4" s="3" customFormat="1" outlineLevel="1" x14ac:dyDescent="0.25">
      <c r="A13" s="3" t="s">
        <v>17</v>
      </c>
      <c r="B13" s="94" t="str">
        <f>'PLANILHA ORÇAMENTARIA'!C11</f>
        <v>SERVIÇOS  PRELIMINARES</v>
      </c>
      <c r="C13" s="16">
        <f>D13/$D$100</f>
        <v>1.8819348240587768E-2</v>
      </c>
      <c r="D13" s="34">
        <f>'PLANILHA ORÇAMENTARIA'!H25</f>
        <v>158880.51000000004</v>
      </c>
    </row>
    <row r="14" spans="1:4" s="3" customFormat="1" x14ac:dyDescent="0.25">
      <c r="A14" s="95"/>
      <c r="B14" s="26"/>
      <c r="C14" s="103"/>
      <c r="D14" s="104">
        <f>SUM(D12:D13)</f>
        <v>515831.64</v>
      </c>
    </row>
    <row r="15" spans="1:4" s="3" customFormat="1" x14ac:dyDescent="0.25">
      <c r="A15" s="693" t="s">
        <v>590</v>
      </c>
      <c r="B15" s="693"/>
      <c r="C15" s="693"/>
      <c r="D15" s="693"/>
    </row>
    <row r="16" spans="1:4" outlineLevel="1" x14ac:dyDescent="0.25">
      <c r="A16" s="3" t="s">
        <v>20</v>
      </c>
      <c r="B16" s="94" t="str">
        <f>'PLANILHA ORÇAMENTARIA'!C28</f>
        <v>MOVIMENTAÇÃO DE TERRA (PLATÔ)</v>
      </c>
      <c r="C16" s="16">
        <f t="shared" ref="C16:C30" si="0">D16/$D$100</f>
        <v>4.5941236091476684E-3</v>
      </c>
      <c r="D16" s="34">
        <f>'PLANILHA ORÇAMENTARIA'!H31</f>
        <v>38785.440000000002</v>
      </c>
    </row>
    <row r="17" spans="1:4" outlineLevel="1" x14ac:dyDescent="0.25">
      <c r="A17" s="3" t="s">
        <v>23</v>
      </c>
      <c r="B17" s="4" t="str">
        <f>'PLANILHA ORÇAMENTARIA'!C32</f>
        <v>FUNDAÇÃO</v>
      </c>
      <c r="C17" s="16">
        <f t="shared" si="0"/>
        <v>5.3004668685324302E-2</v>
      </c>
      <c r="D17" s="34">
        <f>'PLANILHA ORÇAMENTARIA'!H51</f>
        <v>447486.74000000005</v>
      </c>
    </row>
    <row r="18" spans="1:4" outlineLevel="1" x14ac:dyDescent="0.25">
      <c r="A18" s="3" t="s">
        <v>29</v>
      </c>
      <c r="B18" s="4" t="str">
        <f>'PLANILHA ORÇAMENTARIA'!C52</f>
        <v>MESO ESTRUTURA</v>
      </c>
      <c r="C18" s="16">
        <f t="shared" si="0"/>
        <v>1.488589202943414E-2</v>
      </c>
      <c r="D18" s="34">
        <f>'PLANILHA ORÇAMENTARIA'!H59</f>
        <v>125672.69</v>
      </c>
    </row>
    <row r="19" spans="1:4" outlineLevel="1" x14ac:dyDescent="0.25">
      <c r="A19" s="3" t="s">
        <v>32</v>
      </c>
      <c r="B19" s="4" t="str">
        <f>'PLANILHA ORÇAMENTARIA'!C60</f>
        <v>SUPER ESTRUTURA</v>
      </c>
      <c r="C19" s="16">
        <f t="shared" si="0"/>
        <v>5.7867162588066935E-2</v>
      </c>
      <c r="D19" s="34">
        <f>'PLANILHA ORÇAMENTARIA'!H72</f>
        <v>488537.87000000005</v>
      </c>
    </row>
    <row r="20" spans="1:4" outlineLevel="1" x14ac:dyDescent="0.25">
      <c r="A20" s="3" t="s">
        <v>124</v>
      </c>
      <c r="B20" s="4" t="str">
        <f>'PLANILHA ORÇAMENTARIA'!C73</f>
        <v>CONTRAPISO ARMADO</v>
      </c>
      <c r="C20" s="16">
        <f t="shared" si="0"/>
        <v>2.4125923086186569E-2</v>
      </c>
      <c r="D20" s="34">
        <f>'PLANILHA ORÇAMENTARIA'!H79</f>
        <v>203680.75</v>
      </c>
    </row>
    <row r="21" spans="1:4" outlineLevel="1" x14ac:dyDescent="0.25">
      <c r="A21" s="3" t="s">
        <v>138</v>
      </c>
      <c r="B21" s="4" t="str">
        <f>'PLANILHA ORÇAMENTARIA'!C80</f>
        <v>COBERTURA</v>
      </c>
      <c r="C21" s="16">
        <f t="shared" si="0"/>
        <v>6.6510176375910113E-2</v>
      </c>
      <c r="D21" s="34">
        <f>'PLANILHA ORÇAMENTARIA'!H89</f>
        <v>561505.66999999993</v>
      </c>
    </row>
    <row r="22" spans="1:4" outlineLevel="1" x14ac:dyDescent="0.25">
      <c r="A22" s="3" t="s">
        <v>139</v>
      </c>
      <c r="B22" s="4" t="str">
        <f>'PLANILHA ORÇAMENTARIA'!C90</f>
        <v>ESQUADRIAS</v>
      </c>
      <c r="C22" s="16">
        <f t="shared" si="0"/>
        <v>3.9490223965113161E-2</v>
      </c>
      <c r="D22" s="34">
        <f>'PLANILHA ORÇAMENTARIA'!H100</f>
        <v>333392.36</v>
      </c>
    </row>
    <row r="23" spans="1:4" outlineLevel="1" x14ac:dyDescent="0.25">
      <c r="A23" s="3" t="s">
        <v>140</v>
      </c>
      <c r="B23" s="4" t="str">
        <f>'PLANILHA ORÇAMENTARIA'!C101</f>
        <v>ELEMENTOS DE VEDAÇÃO</v>
      </c>
      <c r="C23" s="16">
        <f t="shared" si="0"/>
        <v>2.8706942605374704E-2</v>
      </c>
      <c r="D23" s="34">
        <f>'PLANILHA ORÇAMENTARIA'!H108</f>
        <v>242355.56</v>
      </c>
    </row>
    <row r="24" spans="1:4" outlineLevel="1" x14ac:dyDescent="0.25">
      <c r="A24" s="3" t="s">
        <v>192</v>
      </c>
      <c r="B24" s="4" t="str">
        <f>'PLANILHA ORÇAMENTARIA'!C109</f>
        <v>REVESTIMENTO</v>
      </c>
      <c r="C24" s="16">
        <f t="shared" si="0"/>
        <v>7.0779664900974926E-2</v>
      </c>
      <c r="D24" s="34">
        <f>'PLANILHA ORÇAMENTARIA'!H118</f>
        <v>597550.40999999992</v>
      </c>
    </row>
    <row r="25" spans="1:4" outlineLevel="1" x14ac:dyDescent="0.25">
      <c r="A25" s="3" t="s">
        <v>193</v>
      </c>
      <c r="B25" s="4" t="str">
        <f>'PLANILHA ORÇAMENTARIA'!C119</f>
        <v>PISOS</v>
      </c>
      <c r="C25" s="16">
        <f t="shared" si="0"/>
        <v>2.1849552074653781E-2</v>
      </c>
      <c r="D25" s="34">
        <f>'PLANILHA ORÇAMENTARIA'!H122</f>
        <v>184462.71</v>
      </c>
    </row>
    <row r="26" spans="1:4" outlineLevel="1" x14ac:dyDescent="0.25">
      <c r="A26" s="3" t="s">
        <v>141</v>
      </c>
      <c r="B26" s="4" t="str">
        <f>'PLANILHA ORÇAMENTARIA'!C123</f>
        <v>PINTURA INTERNA E EXTERNA</v>
      </c>
      <c r="C26" s="16">
        <f t="shared" si="0"/>
        <v>1.7343329985518484E-2</v>
      </c>
      <c r="D26" s="34">
        <f>'PLANILHA ORÇAMENTARIA'!H133</f>
        <v>146419.37000000002</v>
      </c>
    </row>
    <row r="27" spans="1:4" outlineLevel="1" x14ac:dyDescent="0.25">
      <c r="A27" s="3" t="s">
        <v>145</v>
      </c>
      <c r="B27" s="4" t="str">
        <f>'PLANILHA ORÇAMENTARIA'!C134</f>
        <v>FORROS E DIVISÓRIAS</v>
      </c>
      <c r="C27" s="16">
        <f t="shared" si="0"/>
        <v>3.0726763418558504E-3</v>
      </c>
      <c r="D27" s="34">
        <f>'PLANILHA ORÇAMENTARIA'!H137</f>
        <v>25940.77</v>
      </c>
    </row>
    <row r="28" spans="1:4" outlineLevel="1" x14ac:dyDescent="0.25">
      <c r="A28" s="3" t="s">
        <v>196</v>
      </c>
      <c r="B28" s="4" t="str">
        <f>'PLANILHA ORÇAMENTARIA'!C138</f>
        <v>ACESSIBILIDADE</v>
      </c>
      <c r="C28" s="16">
        <f t="shared" si="0"/>
        <v>9.4540507069601452E-3</v>
      </c>
      <c r="D28" s="34">
        <f>'PLANILHA ORÇAMENTARIA'!H143</f>
        <v>79814.900000000009</v>
      </c>
    </row>
    <row r="29" spans="1:4" outlineLevel="1" x14ac:dyDescent="0.25">
      <c r="A29" s="3" t="s">
        <v>197</v>
      </c>
      <c r="B29" s="4" t="str">
        <f>'PLANILHA ORÇAMENTARIA'!C144</f>
        <v>SERVIÇOS COMPLEMENTARES</v>
      </c>
      <c r="C29" s="16">
        <f t="shared" si="0"/>
        <v>1.3681480113677025E-2</v>
      </c>
      <c r="D29" s="34">
        <f>'PLANILHA ORÇAMENTARIA'!H158</f>
        <v>115504.56000000001</v>
      </c>
    </row>
    <row r="30" spans="1:4" outlineLevel="1" x14ac:dyDescent="0.25">
      <c r="A30" s="3" t="s">
        <v>198</v>
      </c>
      <c r="B30" s="4" t="str">
        <f>'PLANILHA ORÇAMENTARIA'!C159</f>
        <v>LIMPEZA</v>
      </c>
      <c r="C30" s="16">
        <f t="shared" si="0"/>
        <v>2.4081510372362777E-3</v>
      </c>
      <c r="D30" s="34">
        <f>'PLANILHA ORÇAMENTARIA'!H163</f>
        <v>20330.580000000002</v>
      </c>
    </row>
    <row r="31" spans="1:4" x14ac:dyDescent="0.25">
      <c r="A31" s="95"/>
      <c r="B31" s="26"/>
      <c r="C31" s="103"/>
      <c r="D31" s="104">
        <f>SUM(D16:D30)</f>
        <v>3611440.3800000004</v>
      </c>
    </row>
    <row r="32" spans="1:4" x14ac:dyDescent="0.25">
      <c r="A32" s="693" t="s">
        <v>620</v>
      </c>
      <c r="B32" s="693"/>
      <c r="C32" s="693"/>
      <c r="D32" s="693"/>
    </row>
    <row r="33" spans="1:4" outlineLevel="1" x14ac:dyDescent="0.25">
      <c r="A33" s="3" t="s">
        <v>164</v>
      </c>
      <c r="B33" s="4" t="str">
        <f>'PLANILHA ORÇAMENTARIA'!C166</f>
        <v>MOVIMENTAÇÃO DE TERRA (PLATÔ)</v>
      </c>
      <c r="C33" s="16">
        <f t="shared" ref="C33:C45" si="1">D33/$D$100</f>
        <v>1.0203138434638642E-3</v>
      </c>
      <c r="D33" s="34">
        <f>'PLANILHA ORÇAMENTARIA'!H169</f>
        <v>8613.9</v>
      </c>
    </row>
    <row r="34" spans="1:4" outlineLevel="1" x14ac:dyDescent="0.25">
      <c r="A34" s="3" t="s">
        <v>165</v>
      </c>
      <c r="B34" s="4" t="str">
        <f>'PLANILHA ORÇAMENTARIA'!C170</f>
        <v>FUNDAÇÃO</v>
      </c>
      <c r="C34" s="16">
        <f t="shared" si="1"/>
        <v>1.4272270482024264E-2</v>
      </c>
      <c r="D34" s="34">
        <f>'PLANILHA ORÇAMENTARIA'!H188</f>
        <v>120492.25</v>
      </c>
    </row>
    <row r="35" spans="1:4" outlineLevel="1" x14ac:dyDescent="0.25">
      <c r="A35" s="3" t="s">
        <v>168</v>
      </c>
      <c r="B35" s="4" t="str">
        <f>'PLANILHA ORÇAMENTARIA'!C189</f>
        <v>MESO ESTRUTURA</v>
      </c>
      <c r="C35" s="16">
        <f t="shared" si="1"/>
        <v>4.843200816124096E-3</v>
      </c>
      <c r="D35" s="34">
        <f>'PLANILHA ORÇAMENTARIA'!H194</f>
        <v>40888.25</v>
      </c>
    </row>
    <row r="36" spans="1:4" outlineLevel="1" x14ac:dyDescent="0.25">
      <c r="A36" s="3" t="s">
        <v>330</v>
      </c>
      <c r="B36" s="4" t="str">
        <f>'PLANILHA ORÇAMENTARIA'!C195</f>
        <v>SUPER ESTRUTURA</v>
      </c>
      <c r="C36" s="16">
        <f t="shared" si="1"/>
        <v>5.0845065384919645E-3</v>
      </c>
      <c r="D36" s="34">
        <f>'PLANILHA ORÇAMENTARIA'!H206</f>
        <v>42925.45</v>
      </c>
    </row>
    <row r="37" spans="1:4" outlineLevel="1" x14ac:dyDescent="0.25">
      <c r="A37" s="3" t="s">
        <v>319</v>
      </c>
      <c r="B37" s="4" t="str">
        <f>'PLANILHA ORÇAMENTARIA'!C207</f>
        <v>CONTRAPISO ARMADO</v>
      </c>
      <c r="C37" s="16">
        <f t="shared" si="1"/>
        <v>2.3755418357008984E-3</v>
      </c>
      <c r="D37" s="34">
        <f>'PLANILHA ORÇAMENTARIA'!H213</f>
        <v>20055.28</v>
      </c>
    </row>
    <row r="38" spans="1:4" outlineLevel="1" x14ac:dyDescent="0.25">
      <c r="A38" s="3" t="s">
        <v>331</v>
      </c>
      <c r="B38" s="4" t="str">
        <f>'PLANILHA ORÇAMENTARIA'!C214</f>
        <v>ELEMENTOS DE VEDAÇÃO</v>
      </c>
      <c r="C38" s="16">
        <f t="shared" si="1"/>
        <v>4.1169786179203142E-3</v>
      </c>
      <c r="D38" s="34">
        <f>'PLANILHA ORÇAMENTARIA'!H221</f>
        <v>34757.19</v>
      </c>
    </row>
    <row r="39" spans="1:4" outlineLevel="1" x14ac:dyDescent="0.25">
      <c r="A39" s="3" t="s">
        <v>326</v>
      </c>
      <c r="B39" s="4" t="str">
        <f>'PLANILHA ORÇAMENTARIA'!C222</f>
        <v>COBERTURA</v>
      </c>
      <c r="C39" s="16">
        <f t="shared" si="1"/>
        <v>1.0893889686631802E-2</v>
      </c>
      <c r="D39" s="34">
        <f>'PLANILHA ORÇAMENTARIA'!H227</f>
        <v>91970.6</v>
      </c>
    </row>
    <row r="40" spans="1:4" outlineLevel="1" x14ac:dyDescent="0.25">
      <c r="A40" s="3" t="s">
        <v>332</v>
      </c>
      <c r="B40" s="4" t="str">
        <f>'PLANILHA ORÇAMENTARIA'!C228</f>
        <v>REVESTIMENTO</v>
      </c>
      <c r="C40" s="16">
        <f t="shared" si="1"/>
        <v>8.4124171025651024E-3</v>
      </c>
      <c r="D40" s="34">
        <f>'PLANILHA ORÇAMENTARIA'!H236</f>
        <v>71021.009999999995</v>
      </c>
    </row>
    <row r="41" spans="1:4" outlineLevel="1" x14ac:dyDescent="0.25">
      <c r="A41" s="3" t="s">
        <v>333</v>
      </c>
      <c r="B41" s="4" t="str">
        <f>'PLANILHA ORÇAMENTARIA'!C237</f>
        <v>PISOS</v>
      </c>
      <c r="C41" s="16">
        <f t="shared" si="1"/>
        <v>4.8934104581104081E-3</v>
      </c>
      <c r="D41" s="34">
        <f>'PLANILHA ORÇAMENTARIA'!H241</f>
        <v>41312.14</v>
      </c>
    </row>
    <row r="42" spans="1:4" outlineLevel="1" x14ac:dyDescent="0.25">
      <c r="A42" s="3" t="s">
        <v>334</v>
      </c>
      <c r="B42" s="4" t="str">
        <f>'PLANILHA ORÇAMENTARIA'!C242</f>
        <v>ESQUADRIAS</v>
      </c>
      <c r="C42" s="16">
        <f t="shared" si="1"/>
        <v>3.4961861258647709E-3</v>
      </c>
      <c r="D42" s="34">
        <f>'PLANILHA ORÇAMENTARIA'!H247</f>
        <v>29516.210000000003</v>
      </c>
    </row>
    <row r="43" spans="1:4" outlineLevel="1" x14ac:dyDescent="0.25">
      <c r="A43" s="3" t="s">
        <v>335</v>
      </c>
      <c r="B43" s="4" t="str">
        <f>'PLANILHA ORÇAMENTARIA'!C248</f>
        <v>PINTURA INTERNA E EXTERNA</v>
      </c>
      <c r="C43" s="16">
        <f t="shared" si="1"/>
        <v>1.858440208244232E-3</v>
      </c>
      <c r="D43" s="34">
        <f>'PLANILHA ORÇAMENTARIA'!H256</f>
        <v>15689.699999999999</v>
      </c>
    </row>
    <row r="44" spans="1:4" outlineLevel="1" x14ac:dyDescent="0.25">
      <c r="A44" s="3" t="s">
        <v>2327</v>
      </c>
      <c r="B44" s="4" t="str">
        <f>'PLANILHA ORÇAMENTARIA'!C257</f>
        <v>SERVIÇOS COMPLEMENTARES</v>
      </c>
      <c r="C44" s="16">
        <f t="shared" si="1"/>
        <v>2.6432452575027468E-3</v>
      </c>
      <c r="D44" s="34">
        <f>'PLANILHA ORÇAMENTARIA'!H264</f>
        <v>22315.34</v>
      </c>
    </row>
    <row r="45" spans="1:4" outlineLevel="1" x14ac:dyDescent="0.25">
      <c r="A45" s="3" t="s">
        <v>336</v>
      </c>
      <c r="B45" s="4" t="str">
        <f>'PLANILHA ORÇAMENTARIA'!C265</f>
        <v>LIMPEZA</v>
      </c>
      <c r="C45" s="16">
        <f t="shared" si="1"/>
        <v>1.1873160710146488E-4</v>
      </c>
      <c r="D45" s="34">
        <f>'PLANILHA ORÇAMENTARIA'!H267</f>
        <v>1002.38</v>
      </c>
    </row>
    <row r="46" spans="1:4" x14ac:dyDescent="0.25">
      <c r="A46" s="95"/>
      <c r="B46" s="26"/>
      <c r="C46" s="103"/>
      <c r="D46" s="104">
        <f>SUM(D33:D45)</f>
        <v>540559.69999999995</v>
      </c>
    </row>
    <row r="47" spans="1:4" s="3" customFormat="1" x14ac:dyDescent="0.25">
      <c r="A47" s="693" t="s">
        <v>1907</v>
      </c>
      <c r="B47" s="693"/>
      <c r="C47" s="693"/>
      <c r="D47" s="693"/>
    </row>
    <row r="48" spans="1:4" outlineLevel="1" x14ac:dyDescent="0.25">
      <c r="A48" s="3" t="s">
        <v>169</v>
      </c>
      <c r="B48" s="94" t="str">
        <f>'PLANILHA ORÇAMENTARIA'!C270</f>
        <v>MOVIMENTAÇÃO DE TERRA (PLATÔ)</v>
      </c>
      <c r="C48" s="16">
        <f t="shared" ref="C48:C62" si="2">D48/$D$100</f>
        <v>3.0274688305663741E-3</v>
      </c>
      <c r="D48" s="34">
        <f>'PLANILHA ORÇAMENTARIA'!H273</f>
        <v>25559.11</v>
      </c>
    </row>
    <row r="49" spans="1:4" outlineLevel="1" x14ac:dyDescent="0.25">
      <c r="A49" s="3" t="s">
        <v>170</v>
      </c>
      <c r="B49" s="4" t="str">
        <f>'PLANILHA ORÇAMENTARIA'!C274</f>
        <v>FUNDAÇÃO</v>
      </c>
      <c r="C49" s="16">
        <f t="shared" si="2"/>
        <v>1.9123265288199312E-2</v>
      </c>
      <c r="D49" s="34">
        <f>'PLANILHA ORÇAMENTARIA'!H293</f>
        <v>161446.29999999999</v>
      </c>
    </row>
    <row r="50" spans="1:4" outlineLevel="1" x14ac:dyDescent="0.25">
      <c r="A50" s="3" t="s">
        <v>171</v>
      </c>
      <c r="B50" s="94" t="str">
        <f>'PLANILHA ORÇAMENTARIA'!C294</f>
        <v>MESO ESTRUTURA</v>
      </c>
      <c r="C50" s="16">
        <f t="shared" si="2"/>
        <v>1.5547759322857001E-2</v>
      </c>
      <c r="D50" s="34">
        <f>'PLANILHA ORÇAMENTARIA'!H304</f>
        <v>131260.43999999997</v>
      </c>
    </row>
    <row r="51" spans="1:4" outlineLevel="1" x14ac:dyDescent="0.25">
      <c r="A51" s="3" t="s">
        <v>172</v>
      </c>
      <c r="B51" s="4" t="str">
        <f>'PLANILHA ORÇAMENTARIA'!C305</f>
        <v>SUPER ESTRUTURA</v>
      </c>
      <c r="C51" s="16">
        <f t="shared" si="2"/>
        <v>1.7495569827354208E-2</v>
      </c>
      <c r="D51" s="34">
        <f>'PLANILHA ORÇAMENTARIA'!H315</f>
        <v>147704.63999999998</v>
      </c>
    </row>
    <row r="52" spans="1:4" outlineLevel="1" x14ac:dyDescent="0.25">
      <c r="A52" s="3" t="s">
        <v>173</v>
      </c>
      <c r="B52" s="4" t="str">
        <f>'PLANILHA ORÇAMENTARIA'!C316</f>
        <v>CONTRAPISO ARMADO</v>
      </c>
      <c r="C52" s="16">
        <f t="shared" si="2"/>
        <v>1.2166341477238E-2</v>
      </c>
      <c r="D52" s="34">
        <f>'PLANILHA ORÇAMENTARIA'!H323</f>
        <v>102713.15</v>
      </c>
    </row>
    <row r="53" spans="1:4" outlineLevel="1" x14ac:dyDescent="0.25">
      <c r="A53" s="3" t="s">
        <v>174</v>
      </c>
      <c r="B53" s="94" t="str">
        <f>'PLANILHA ORÇAMENTARIA'!C324</f>
        <v>ELEMENTOS DE VEDAÇÃO</v>
      </c>
      <c r="C53" s="16">
        <f t="shared" si="2"/>
        <v>2.0795625760722448E-2</v>
      </c>
      <c r="D53" s="34">
        <f>'PLANILHA ORÇAMENTARIA'!H332</f>
        <v>175565.04</v>
      </c>
    </row>
    <row r="54" spans="1:4" outlineLevel="1" x14ac:dyDescent="0.25">
      <c r="A54" s="3" t="s">
        <v>175</v>
      </c>
      <c r="B54" s="94" t="str">
        <f>'PLANILHA ORÇAMENTARIA'!C333</f>
        <v>ESQUADRIAS</v>
      </c>
      <c r="C54" s="16">
        <f t="shared" si="2"/>
        <v>2.5155410858669373E-3</v>
      </c>
      <c r="D54" s="34">
        <f>'PLANILHA ORÇAMENTARIA'!H337</f>
        <v>21237.21</v>
      </c>
    </row>
    <row r="55" spans="1:4" outlineLevel="1" x14ac:dyDescent="0.25">
      <c r="A55" s="3" t="s">
        <v>176</v>
      </c>
      <c r="B55" s="4" t="str">
        <f>'PLANILHA ORÇAMENTARIA'!C338</f>
        <v>COBERTURA</v>
      </c>
      <c r="C55" s="16">
        <f t="shared" si="2"/>
        <v>7.4100120241130038E-2</v>
      </c>
      <c r="D55" s="34">
        <f>'PLANILHA ORÇAMENTARIA'!H346</f>
        <v>625583.03000000014</v>
      </c>
    </row>
    <row r="56" spans="1:4" outlineLevel="1" x14ac:dyDescent="0.25">
      <c r="A56" s="3" t="s">
        <v>177</v>
      </c>
      <c r="B56" s="125" t="str">
        <f>'PLANILHA ORÇAMENTARIA'!C347</f>
        <v>REVESTIMENTO</v>
      </c>
      <c r="C56" s="16">
        <f t="shared" si="2"/>
        <v>2.1388917786666586E-2</v>
      </c>
      <c r="D56" s="34">
        <f>'PLANILHA ORÇAMENTARIA'!H353</f>
        <v>180573.85</v>
      </c>
    </row>
    <row r="57" spans="1:4" outlineLevel="1" x14ac:dyDescent="0.25">
      <c r="A57" s="3" t="s">
        <v>178</v>
      </c>
      <c r="B57" s="125" t="str">
        <f>'PLANILHA ORÇAMENTARIA'!C354</f>
        <v>PISOS</v>
      </c>
      <c r="C57" s="16">
        <f t="shared" ref="C57" si="3">D57/$D$100</f>
        <v>2.5753487067868195E-3</v>
      </c>
      <c r="D57" s="34">
        <f>'PLANILHA ORÇAMENTARIA'!H358</f>
        <v>21742.129999999997</v>
      </c>
    </row>
    <row r="58" spans="1:4" outlineLevel="1" x14ac:dyDescent="0.25">
      <c r="A58" s="3" t="s">
        <v>365</v>
      </c>
      <c r="B58" s="4" t="str">
        <f>'PLANILHA ORÇAMENTARIA'!C359</f>
        <v>ARQUIBANCADA</v>
      </c>
      <c r="C58" s="16">
        <f t="shared" si="2"/>
        <v>5.7816990849983586E-3</v>
      </c>
      <c r="D58" s="34">
        <f>'PLANILHA ORÇAMENTARIA'!H366</f>
        <v>48811.429999999993</v>
      </c>
    </row>
    <row r="59" spans="1:4" outlineLevel="1" x14ac:dyDescent="0.25">
      <c r="A59" s="3" t="s">
        <v>369</v>
      </c>
      <c r="B59" s="4" t="str">
        <f>'PLANILHA ORÇAMENTARIA'!C367</f>
        <v>PINTURA</v>
      </c>
      <c r="C59" s="16">
        <f t="shared" si="2"/>
        <v>1.7734571703118873E-2</v>
      </c>
      <c r="D59" s="34">
        <f>'PLANILHA ORÇAMENTARIA'!H380</f>
        <v>149722.39000000001</v>
      </c>
    </row>
    <row r="60" spans="1:4" outlineLevel="1" x14ac:dyDescent="0.25">
      <c r="A60" s="3" t="s">
        <v>371</v>
      </c>
      <c r="B60" s="4" t="str">
        <f>'PLANILHA ORÇAMENTARIA'!C381</f>
        <v>FORROS E DIVISÓRIAS</v>
      </c>
      <c r="C60" s="16">
        <f t="shared" si="2"/>
        <v>1.8996512267628993E-3</v>
      </c>
      <c r="D60" s="34">
        <f>'PLANILHA ORÇAMENTARIA'!H384</f>
        <v>16037.619999999999</v>
      </c>
    </row>
    <row r="61" spans="1:4" outlineLevel="1" x14ac:dyDescent="0.25">
      <c r="A61" s="3" t="s">
        <v>373</v>
      </c>
      <c r="B61" s="4" t="str">
        <f>'PLANILHA ORÇAMENTARIA'!C385</f>
        <v>SERVIÇOS COMPLEMENTARES</v>
      </c>
      <c r="C61" s="16">
        <f t="shared" si="2"/>
        <v>5.8010644259319571E-3</v>
      </c>
      <c r="D61" s="34">
        <f>'PLANILHA ORÇAMENTARIA'!H397</f>
        <v>48974.920000000006</v>
      </c>
    </row>
    <row r="62" spans="1:4" outlineLevel="1" x14ac:dyDescent="0.25">
      <c r="A62" s="3" t="s">
        <v>376</v>
      </c>
      <c r="B62" s="4" t="str">
        <f>'PLANILHA ORÇAMENTARIA'!C398</f>
        <v>LIMPEZA</v>
      </c>
      <c r="C62" s="16">
        <f t="shared" si="2"/>
        <v>4.9159940773066868E-4</v>
      </c>
      <c r="D62" s="34">
        <f>'PLANILHA ORÇAMENTARIA'!H400</f>
        <v>4150.28</v>
      </c>
    </row>
    <row r="63" spans="1:4" x14ac:dyDescent="0.25">
      <c r="A63" s="95"/>
      <c r="B63" s="26"/>
      <c r="C63" s="103"/>
      <c r="D63" s="104">
        <f>SUM(D48:D62)</f>
        <v>1861081.5400000003</v>
      </c>
    </row>
    <row r="64" spans="1:4" s="26" customFormat="1" x14ac:dyDescent="0.25">
      <c r="A64" s="693" t="s">
        <v>634</v>
      </c>
      <c r="B64" s="693"/>
      <c r="C64" s="693"/>
      <c r="D64" s="693"/>
    </row>
    <row r="65" spans="1:4" s="26" customFormat="1" outlineLevel="1" x14ac:dyDescent="0.25">
      <c r="A65" s="3" t="s">
        <v>378</v>
      </c>
      <c r="B65" s="4" t="str">
        <f>'PLANILHA ORÇAMENTARIA'!C403</f>
        <v>URBANIZAÇÃO E PAISAGISMO</v>
      </c>
      <c r="C65" s="16">
        <f t="shared" ref="C65:C68" si="4">D65/$D$100</f>
        <v>6.4781821178207851E-3</v>
      </c>
      <c r="D65" s="34">
        <f>'PLANILHA ORÇAMENTARIA'!H407</f>
        <v>54691.420000000006</v>
      </c>
    </row>
    <row r="66" spans="1:4" s="26" customFormat="1" outlineLevel="1" x14ac:dyDescent="0.25">
      <c r="A66" s="3" t="s">
        <v>380</v>
      </c>
      <c r="B66" s="4" t="str">
        <f>'PLANILHA ORÇAMENTARIA'!C408</f>
        <v>PERGOLADOS METÁLICOS</v>
      </c>
      <c r="C66" s="16">
        <f t="shared" si="4"/>
        <v>5.8401137374836029E-3</v>
      </c>
      <c r="D66" s="34">
        <f>'PLANILHA ORÇAMENTARIA'!H426</f>
        <v>49304.59</v>
      </c>
    </row>
    <row r="67" spans="1:4" s="26" customFormat="1" ht="13.5" customHeight="1" outlineLevel="1" x14ac:dyDescent="0.25">
      <c r="A67" s="3" t="s">
        <v>382</v>
      </c>
      <c r="B67" s="4" t="str">
        <f>'PLANILHA ORÇAMENTARIA'!C427</f>
        <v>MUROS, CERCAS, FECHAMENTOS E CALÇADAS DE ÁREAS DE CONVIVENCIA</v>
      </c>
      <c r="C67" s="16">
        <f t="shared" si="4"/>
        <v>8.8359261758758439E-2</v>
      </c>
      <c r="D67" s="34">
        <f>'PLANILHA ORÇAMENTARIA'!H437</f>
        <v>745964.44000000006</v>
      </c>
    </row>
    <row r="68" spans="1:4" s="26" customFormat="1" outlineLevel="1" x14ac:dyDescent="0.25">
      <c r="A68" s="3" t="s">
        <v>389</v>
      </c>
      <c r="B68" s="4" t="str">
        <f>'PLANILHA ORÇAMENTARIA'!C438</f>
        <v>ITENS COMPLEMENTARES</v>
      </c>
      <c r="C68" s="16">
        <f t="shared" si="4"/>
        <v>4.9525358087765899E-4</v>
      </c>
      <c r="D68" s="34">
        <f>'PLANILHA ORÇAMENTARIA'!H440</f>
        <v>4181.13</v>
      </c>
    </row>
    <row r="69" spans="1:4" s="26" customFormat="1" x14ac:dyDescent="0.25">
      <c r="A69" s="95"/>
      <c r="C69" s="103"/>
      <c r="D69" s="104">
        <f>SUM(D65:D68)</f>
        <v>854141.58000000007</v>
      </c>
    </row>
    <row r="70" spans="1:4" s="26" customFormat="1" x14ac:dyDescent="0.25">
      <c r="A70" s="693" t="s">
        <v>190</v>
      </c>
      <c r="B70" s="693"/>
      <c r="C70" s="693"/>
      <c r="D70" s="693"/>
    </row>
    <row r="71" spans="1:4" s="26" customFormat="1" outlineLevel="1" x14ac:dyDescent="0.25">
      <c r="A71" s="3" t="s">
        <v>390</v>
      </c>
      <c r="B71" s="4" t="str">
        <f>'PLANILHA ORÇAMENTARIA'!C443</f>
        <v>ALIMENTAÇÃO</v>
      </c>
      <c r="C71" s="16">
        <f t="shared" ref="C71:C84" si="5">D71/$D$100</f>
        <v>4.0650277653907023E-4</v>
      </c>
      <c r="D71" s="34">
        <f>'PLANILHA ORÇAMENTARIA'!H458</f>
        <v>3431.8599999999997</v>
      </c>
    </row>
    <row r="72" spans="1:4" s="26" customFormat="1" outlineLevel="1" x14ac:dyDescent="0.25">
      <c r="A72" s="3" t="s">
        <v>392</v>
      </c>
      <c r="B72" s="4" t="str">
        <f>'PLANILHA ORÇAMENTARIA'!C459</f>
        <v>ÁGUA FRIA - RAMAL DE DISTRIBUIÇÃO ESCOLAR</v>
      </c>
      <c r="C72" s="16">
        <f t="shared" si="5"/>
        <v>3.0917976764139924E-3</v>
      </c>
      <c r="D72" s="34">
        <f>'PLANILHA ORÇAMENTARIA'!H512</f>
        <v>26102.200000000008</v>
      </c>
    </row>
    <row r="73" spans="1:4" s="26" customFormat="1" outlineLevel="1" x14ac:dyDescent="0.25">
      <c r="A73" s="3" t="s">
        <v>400</v>
      </c>
      <c r="B73" s="4" t="str">
        <f>'PLANILHA ORÇAMENTARIA'!C513</f>
        <v>CISTERNA E CAIXAS D'ÁGUA</v>
      </c>
      <c r="C73" s="16">
        <f t="shared" si="5"/>
        <v>1.1993517447088363E-2</v>
      </c>
      <c r="D73" s="34">
        <f>'PLANILHA ORÇAMENTARIA'!H520</f>
        <v>101254.09999999999</v>
      </c>
    </row>
    <row r="74" spans="1:4" s="26" customFormat="1" outlineLevel="1" x14ac:dyDescent="0.25">
      <c r="A74" s="3" t="s">
        <v>404</v>
      </c>
      <c r="B74" s="4" t="str">
        <f>'PLANILHA ORÇAMENTARIA'!C521</f>
        <v xml:space="preserve">LOUÇAS PARA OS BANHEIROS COLETIVOS </v>
      </c>
      <c r="C74" s="16">
        <f t="shared" si="5"/>
        <v>8.6015919288641896E-4</v>
      </c>
      <c r="D74" s="34">
        <f>'PLANILHA ORÇAMENTARIA'!H530</f>
        <v>7261.8099999999995</v>
      </c>
    </row>
    <row r="75" spans="1:4" s="26" customFormat="1" outlineLevel="1" x14ac:dyDescent="0.25">
      <c r="A75" s="3" t="s">
        <v>408</v>
      </c>
      <c r="B75" s="4" t="str">
        <f>'PLANILHA ORÇAMENTARIA'!C531</f>
        <v>LOUÇAS PARA VESTIÁRIOS</v>
      </c>
      <c r="C75" s="16">
        <f t="shared" si="5"/>
        <v>3.7990015912958686E-4</v>
      </c>
      <c r="D75" s="34">
        <f>'PLANILHA ORÇAMENTARIA'!H540</f>
        <v>3207.27</v>
      </c>
    </row>
    <row r="76" spans="1:4" s="26" customFormat="1" outlineLevel="1" x14ac:dyDescent="0.25">
      <c r="A76" s="3" t="s">
        <v>411</v>
      </c>
      <c r="B76" s="4" t="str">
        <f>'PLANILHA ORÇAMENTARIA'!C541</f>
        <v>BANHEIROS FUNCIONÁRIOS E COPA</v>
      </c>
      <c r="C76" s="16">
        <f t="shared" si="5"/>
        <v>3.2262736172171728E-4</v>
      </c>
      <c r="D76" s="34">
        <f>'PLANILHA ORÇAMENTARIA'!H548</f>
        <v>2723.75</v>
      </c>
    </row>
    <row r="77" spans="1:4" s="26" customFormat="1" outlineLevel="1" x14ac:dyDescent="0.25">
      <c r="A77" s="3" t="s">
        <v>413</v>
      </c>
      <c r="B77" s="4" t="str">
        <f>'PLANILHA ORÇAMENTARIA'!C549</f>
        <v>LOUÇAS LABORATÓRIOS</v>
      </c>
      <c r="C77" s="16">
        <f t="shared" si="5"/>
        <v>6.0805085816829029E-4</v>
      </c>
      <c r="D77" s="34">
        <f>'PLANILHA ORÇAMENTARIA'!H552</f>
        <v>5133.41</v>
      </c>
    </row>
    <row r="78" spans="1:4" s="26" customFormat="1" ht="25.5" outlineLevel="1" x14ac:dyDescent="0.25">
      <c r="A78" s="3" t="s">
        <v>416</v>
      </c>
      <c r="B78" s="4" t="str">
        <f>'PLANILHA ORÇAMENTARIA'!C553</f>
        <v>ACESSORIOS COMPLEMENTARES E LOUÇAS PARA COZINHA, ÁREA DE SERVIÇO E REFEITÓRIO</v>
      </c>
      <c r="C78" s="16">
        <f t="shared" si="5"/>
        <v>2.8606004511729992E-3</v>
      </c>
      <c r="D78" s="34">
        <f>'PLANILHA ORÇAMENTARIA'!H560</f>
        <v>24150.339999999997</v>
      </c>
    </row>
    <row r="79" spans="1:4" s="26" customFormat="1" outlineLevel="1" x14ac:dyDescent="0.25">
      <c r="A79" s="3" t="s">
        <v>419</v>
      </c>
      <c r="B79" s="4" t="str">
        <f>'PLANILHA ORÇAMENTARIA'!C561</f>
        <v>BANHEIROS FUNCIONÁRIOS REFEITÓRIO</v>
      </c>
      <c r="C79" s="16">
        <f t="shared" si="5"/>
        <v>2.1012976216404824E-4</v>
      </c>
      <c r="D79" s="34">
        <f>'PLANILHA ORÇAMENTARIA'!H568</f>
        <v>1773.9999999999998</v>
      </c>
    </row>
    <row r="80" spans="1:4" s="26" customFormat="1" outlineLevel="1" x14ac:dyDescent="0.25">
      <c r="A80" s="3" t="s">
        <v>967</v>
      </c>
      <c r="B80" s="4" t="str">
        <f>'PLANILHA ORÇAMENTARIA'!C569</f>
        <v>ACESSORIOS E LOUÇAS PARA BANHEIROS PCDs</v>
      </c>
      <c r="C80" s="16">
        <f t="shared" si="5"/>
        <v>1.6468570683001657E-3</v>
      </c>
      <c r="D80" s="34">
        <f>'PLANILHA ORÇAMENTARIA'!H580</f>
        <v>13903.430000000002</v>
      </c>
    </row>
    <row r="81" spans="1:7" s="26" customFormat="1" outlineLevel="1" x14ac:dyDescent="0.25">
      <c r="A81" s="3" t="s">
        <v>968</v>
      </c>
      <c r="B81" s="4" t="str">
        <f>'PLANILHA ORÇAMENTARIA'!C581</f>
        <v>INSTALAÇÕES SANITARIAS</v>
      </c>
      <c r="C81" s="16">
        <f t="shared" si="5"/>
        <v>3.333392416042108E-3</v>
      </c>
      <c r="D81" s="34">
        <f>'PLANILHA ORÇAMENTARIA'!H610</f>
        <v>28141.84</v>
      </c>
    </row>
    <row r="82" spans="1:7" s="26" customFormat="1" outlineLevel="1" x14ac:dyDescent="0.25">
      <c r="A82" s="3" t="s">
        <v>969</v>
      </c>
      <c r="B82" s="4" t="str">
        <f>'PLANILHA ORÇAMENTARIA'!C611</f>
        <v>VENTILAÇÃO ESGOTO</v>
      </c>
      <c r="C82" s="16">
        <f t="shared" si="5"/>
        <v>1.7498929060756114E-4</v>
      </c>
      <c r="D82" s="34">
        <f>'PLANILHA ORÇAMENTARIA'!H618</f>
        <v>1477.3300000000002</v>
      </c>
    </row>
    <row r="83" spans="1:7" s="26" customFormat="1" outlineLevel="1" x14ac:dyDescent="0.25">
      <c r="A83" s="3" t="s">
        <v>970</v>
      </c>
      <c r="B83" s="4" t="str">
        <f>'PLANILHA ORÇAMENTARIA'!C619</f>
        <v>SISTEMA DE TRATAMENTO DE ESGOTO</v>
      </c>
      <c r="C83" s="16">
        <f t="shared" si="5"/>
        <v>7.4702468930893263E-3</v>
      </c>
      <c r="D83" s="34">
        <f>'PLANILHA ORÇAMENTARIA'!H624</f>
        <v>63066.83</v>
      </c>
    </row>
    <row r="84" spans="1:7" s="26" customFormat="1" outlineLevel="1" x14ac:dyDescent="0.25">
      <c r="A84" s="3" t="s">
        <v>971</v>
      </c>
      <c r="B84" s="4" t="str">
        <f>'PLANILHA ORÇAMENTARIA'!C625</f>
        <v>DRENO DOS CONDICIONADORES DE AR E DRENAGEM PLUVIAL</v>
      </c>
      <c r="C84" s="16">
        <f t="shared" si="5"/>
        <v>8.48251563314497E-3</v>
      </c>
      <c r="D84" s="34">
        <f>'PLANILHA ORÇAMENTARIA'!H643</f>
        <v>71612.81</v>
      </c>
    </row>
    <row r="85" spans="1:7" s="26" customFormat="1" x14ac:dyDescent="0.25">
      <c r="A85" s="95"/>
      <c r="C85" s="103"/>
      <c r="D85" s="104">
        <f>SUM(D71:D84)</f>
        <v>353240.98</v>
      </c>
    </row>
    <row r="86" spans="1:7" s="26" customFormat="1" x14ac:dyDescent="0.25">
      <c r="A86" s="693" t="s">
        <v>189</v>
      </c>
      <c r="B86" s="693"/>
      <c r="C86" s="693"/>
      <c r="D86" s="693"/>
    </row>
    <row r="87" spans="1:7" s="26" customFormat="1" outlineLevel="1" x14ac:dyDescent="0.25">
      <c r="A87" s="3" t="s">
        <v>972</v>
      </c>
      <c r="B87" s="4" t="str">
        <f>'PLANILHA ORÇAMENTARIA'!C646</f>
        <v>INSTALAÇÕES DE GÁS</v>
      </c>
      <c r="C87" s="16">
        <f>D87/$D$100</f>
        <v>3.578566705508217E-3</v>
      </c>
      <c r="D87" s="34">
        <f>'PLANILHA ORÇAMENTARIA'!H658</f>
        <v>30211.7</v>
      </c>
    </row>
    <row r="88" spans="1:7" s="26" customFormat="1" x14ac:dyDescent="0.25">
      <c r="A88" s="95"/>
      <c r="C88" s="103"/>
      <c r="D88" s="104">
        <f>SUM(D87)</f>
        <v>30211.7</v>
      </c>
    </row>
    <row r="89" spans="1:7" ht="15" customHeight="1" x14ac:dyDescent="0.25">
      <c r="A89" s="693" t="s">
        <v>2605</v>
      </c>
      <c r="B89" s="693"/>
      <c r="C89" s="693"/>
      <c r="D89" s="693"/>
    </row>
    <row r="90" spans="1:7" outlineLevel="1" x14ac:dyDescent="0.25">
      <c r="A90" s="3" t="s">
        <v>973</v>
      </c>
      <c r="B90" s="4" t="str">
        <f>'PLANILHA ORÇAMENTARIA'!C661</f>
        <v>INSTALAÇÕES ELÉTRICAS - BAIXA TENSÃO</v>
      </c>
      <c r="C90" s="16">
        <f t="shared" ref="C90:C91" si="6">D90/$D$100</f>
        <v>5.3770622465333442E-2</v>
      </c>
      <c r="D90" s="34">
        <f>'PLANILHA ORÇAMENTARIA'!H730</f>
        <v>453953.23000000016</v>
      </c>
    </row>
    <row r="91" spans="1:7" outlineLevel="1" x14ac:dyDescent="0.25">
      <c r="A91" s="3" t="s">
        <v>974</v>
      </c>
      <c r="B91" s="4" t="str">
        <f>'PLANILHA ORÇAMENTARIA'!C731</f>
        <v>SPDA - SISTEMA DE PROTEÇÃO CONTRA DESCARGA ATMOSFERICAS</v>
      </c>
      <c r="C91" s="16">
        <f t="shared" si="6"/>
        <v>1.3137756916859382E-2</v>
      </c>
      <c r="D91" s="34">
        <f>'PLANILHA ORÇAMENTARIA'!H761</f>
        <v>110914.23</v>
      </c>
    </row>
    <row r="92" spans="1:7" x14ac:dyDescent="0.25">
      <c r="A92" s="95"/>
      <c r="B92" s="26"/>
      <c r="C92" s="103"/>
      <c r="D92" s="104">
        <f>SUM(D90:D91)</f>
        <v>564867.4600000002</v>
      </c>
    </row>
    <row r="93" spans="1:7" ht="15.75" x14ac:dyDescent="0.25">
      <c r="A93" s="693" t="s">
        <v>208</v>
      </c>
      <c r="B93" s="693"/>
      <c r="C93" s="693"/>
      <c r="D93" s="693"/>
      <c r="E93" s="93"/>
      <c r="F93" s="93"/>
      <c r="G93" s="77"/>
    </row>
    <row r="94" spans="1:7" outlineLevel="1" x14ac:dyDescent="0.25">
      <c r="A94" s="3" t="s">
        <v>975</v>
      </c>
      <c r="B94" s="4" t="str">
        <f>'PLANILHA ORÇAMENTARIA'!C764</f>
        <v>EXTINTORES DE INCÊNDIO</v>
      </c>
      <c r="C94" s="16">
        <f t="shared" ref="C94:C98" si="7">D94/$D$100</f>
        <v>4.2319826130627583E-4</v>
      </c>
      <c r="D94" s="34">
        <f>'PLANILHA ORÇAMENTARIA'!H769</f>
        <v>3572.8100000000004</v>
      </c>
    </row>
    <row r="95" spans="1:7" outlineLevel="1" x14ac:dyDescent="0.25">
      <c r="A95" s="3" t="s">
        <v>976</v>
      </c>
      <c r="B95" s="4" t="str">
        <f>'PLANILHA ORÇAMENTARIA'!C770</f>
        <v>SINALIZAÇÃO - SAIDA DE EMERGENCIA</v>
      </c>
      <c r="C95" s="16">
        <f t="shared" si="7"/>
        <v>2.4166699394317896E-4</v>
      </c>
      <c r="D95" s="34">
        <f>'PLANILHA ORÇAMENTARIA'!H773</f>
        <v>2040.25</v>
      </c>
    </row>
    <row r="96" spans="1:7" outlineLevel="1" x14ac:dyDescent="0.25">
      <c r="A96" s="3" t="s">
        <v>1552</v>
      </c>
      <c r="B96" s="4" t="str">
        <f>'PLANILHA ORÇAMENTARIA'!C774</f>
        <v>SISTEMA DE ALARME DE EMERGENCIA</v>
      </c>
      <c r="C96" s="16">
        <f t="shared" si="7"/>
        <v>1.8419437189676896E-3</v>
      </c>
      <c r="D96" s="34">
        <f>'PLANILHA ORÇAMENTARIA'!H795</f>
        <v>15550.430000000002</v>
      </c>
    </row>
    <row r="97" spans="1:4" outlineLevel="1" x14ac:dyDescent="0.25">
      <c r="A97" s="3" t="s">
        <v>2296</v>
      </c>
      <c r="B97" s="4" t="str">
        <f>'PLANILHA ORÇAMENTARIA'!C796</f>
        <v>SISTEMA DE ACIONAMENTO DO HIDRANTE</v>
      </c>
      <c r="C97" s="16">
        <f t="shared" si="7"/>
        <v>7.5270601056735224E-3</v>
      </c>
      <c r="D97" s="34">
        <f>'PLANILHA ORÇAMENTARIA'!H837</f>
        <v>63546.47</v>
      </c>
    </row>
    <row r="98" spans="1:4" outlineLevel="1" x14ac:dyDescent="0.25">
      <c r="A98" s="3" t="s">
        <v>2308</v>
      </c>
      <c r="B98" s="4" t="str">
        <f>'PLANILHA ORÇAMENTARIA'!C838</f>
        <v>LUMINARIA DE EMERGENCIA</v>
      </c>
      <c r="C98" s="16">
        <f t="shared" si="7"/>
        <v>3.1172904201642428E-3</v>
      </c>
      <c r="D98" s="34">
        <f>'PLANILHA ORÇAMENTARIA'!H842</f>
        <v>26317.42</v>
      </c>
    </row>
    <row r="99" spans="1:4" ht="13.5" thickBot="1" x14ac:dyDescent="0.3">
      <c r="A99" s="95"/>
      <c r="B99" s="26"/>
      <c r="C99" s="103"/>
      <c r="D99" s="104">
        <f>SUM(D94:D98)</f>
        <v>111027.38</v>
      </c>
    </row>
    <row r="100" spans="1:4" ht="13.5" thickTop="1" x14ac:dyDescent="0.25">
      <c r="A100" s="30"/>
      <c r="B100" s="31" t="s">
        <v>43</v>
      </c>
      <c r="C100" s="32">
        <f>SUM(C12:C99)</f>
        <v>1</v>
      </c>
      <c r="D100" s="35">
        <f>D99+D92+D88+D85+D69+D63+D46+D31+D14</f>
        <v>8442402.3600000013</v>
      </c>
    </row>
    <row r="101" spans="1:4" x14ac:dyDescent="0.25">
      <c r="A101" s="692" t="str">
        <f>'PLANILHA ORÇAMENTARIA'!A845:H845</f>
        <v>Sete milhões, quatrocentos e quarenta e dois mil, quatrocentose dois reais e trinta e seis centavos.</v>
      </c>
      <c r="B101" s="692"/>
      <c r="C101" s="692"/>
      <c r="D101" s="692"/>
    </row>
    <row r="102" spans="1:4" x14ac:dyDescent="0.25">
      <c r="A102" s="166"/>
      <c r="B102" s="166"/>
      <c r="C102" s="166"/>
      <c r="D102" s="225"/>
    </row>
    <row r="103" spans="1:4" x14ac:dyDescent="0.25">
      <c r="A103" s="4"/>
      <c r="D103" s="4"/>
    </row>
    <row r="104" spans="1:4" x14ac:dyDescent="0.25">
      <c r="A104" s="4"/>
      <c r="D104" s="4"/>
    </row>
    <row r="113" spans="1:4" x14ac:dyDescent="0.25">
      <c r="A113" s="4"/>
      <c r="D113" s="4"/>
    </row>
    <row r="114" spans="1:4" x14ac:dyDescent="0.25">
      <c r="A114" s="4"/>
      <c r="D114" s="4"/>
    </row>
    <row r="129" spans="1:4" x14ac:dyDescent="0.25">
      <c r="A129" s="4"/>
      <c r="D129" s="4"/>
    </row>
    <row r="130" spans="1:4" x14ac:dyDescent="0.25">
      <c r="A130" s="4"/>
      <c r="D130" s="4"/>
    </row>
    <row r="149" spans="3:4" x14ac:dyDescent="0.25">
      <c r="C149" s="105"/>
      <c r="D149" s="105"/>
    </row>
    <row r="150" spans="3:4" x14ac:dyDescent="0.25">
      <c r="C150" s="105"/>
      <c r="D150" s="105"/>
    </row>
    <row r="151" spans="3:4" x14ac:dyDescent="0.25">
      <c r="C151" s="105"/>
      <c r="D151" s="105"/>
    </row>
    <row r="152" spans="3:4" x14ac:dyDescent="0.25">
      <c r="C152" s="105"/>
      <c r="D152" s="106"/>
    </row>
    <row r="153" spans="3:4" x14ac:dyDescent="0.25">
      <c r="C153" s="105"/>
      <c r="D153" s="106"/>
    </row>
    <row r="154" spans="3:4" x14ac:dyDescent="0.25">
      <c r="C154" s="105"/>
      <c r="D154" s="106"/>
    </row>
    <row r="155" spans="3:4" x14ac:dyDescent="0.25">
      <c r="C155" s="105"/>
      <c r="D155" s="106"/>
    </row>
    <row r="156" spans="3:4" x14ac:dyDescent="0.25">
      <c r="C156" s="105"/>
      <c r="D156" s="106"/>
    </row>
    <row r="157" spans="3:4" x14ac:dyDescent="0.25">
      <c r="C157" s="105"/>
      <c r="D157" s="106"/>
    </row>
    <row r="158" spans="3:4" x14ac:dyDescent="0.25">
      <c r="C158" s="105"/>
      <c r="D158" s="106"/>
    </row>
    <row r="159" spans="3:4" x14ac:dyDescent="0.25">
      <c r="C159" s="105"/>
      <c r="D159" s="106"/>
    </row>
  </sheetData>
  <mergeCells count="13">
    <mergeCell ref="B1:D1"/>
    <mergeCell ref="A9:D9"/>
    <mergeCell ref="A101:D101"/>
    <mergeCell ref="A15:D15"/>
    <mergeCell ref="A32:D32"/>
    <mergeCell ref="A89:D89"/>
    <mergeCell ref="A93:D93"/>
    <mergeCell ref="A47:D47"/>
    <mergeCell ref="A11:D11"/>
    <mergeCell ref="A64:D64"/>
    <mergeCell ref="A70:D70"/>
    <mergeCell ref="A86:D86"/>
    <mergeCell ref="B6:B7"/>
  </mergeCells>
  <pageMargins left="0.511811024" right="0.511811024" top="0.890625" bottom="0.92031249999999998" header="0.31496062000000002" footer="0.31496062000000002"/>
  <pageSetup paperSize="9" scale="95" orientation="portrait" r:id="rId1"/>
  <headerFooter>
    <oddHeader>&amp;L&amp;G&amp;C&amp;"-,Negrito"&amp;9&amp;K00-045GOVERNO DO ESTADO DE MATO GROSSO&amp;"-,Regular"
SECRETARIA DE ESTADO DE EDUCAÇÃO
SECRETARIA ADJUNTA DE ESTRUTURA ESCOLAR&amp;R&amp;G</oddHeader>
    <oddFooter xml:space="preserve">&amp;L&amp;"-,Negrito"&amp;7&amp;K00-049Secretaria de Estado de Educação, Esporte e Lazer de Mato Grosso&amp;"-,Regular"
Rua Engenheiro Edgar Prado Arze, 215 - Centro Político Administrativo
CEP: 78049-909 | Cuiabá-MT
Fone: (65) 3613-6300&amp;C&amp;9&amp;K00-049&amp;P / &amp;N&amp;R&amp;7&amp;K00-049&amp;A
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zoomScaleNormal="100" workbookViewId="0">
      <selection activeCell="D38" sqref="D38"/>
    </sheetView>
  </sheetViews>
  <sheetFormatPr defaultRowHeight="15" x14ac:dyDescent="0.25"/>
  <cols>
    <col min="1" max="1" width="12.7109375" style="183" customWidth="1"/>
    <col min="2" max="2" width="47.85546875" style="183" customWidth="1"/>
    <col min="3" max="3" width="15.140625" style="183" customWidth="1"/>
    <col min="4" max="4" width="20" style="183" customWidth="1"/>
    <col min="5" max="16384" width="9.140625" style="183"/>
  </cols>
  <sheetData>
    <row r="1" spans="1:4" ht="15.75" thickBot="1" x14ac:dyDescent="0.3">
      <c r="A1" s="895" t="s">
        <v>429</v>
      </c>
      <c r="B1" s="896"/>
      <c r="C1" s="896"/>
      <c r="D1" s="897"/>
    </row>
    <row r="2" spans="1:4" x14ac:dyDescent="0.25">
      <c r="A2" s="898" t="s">
        <v>4</v>
      </c>
      <c r="B2" s="900" t="s">
        <v>1</v>
      </c>
      <c r="C2" s="900" t="s">
        <v>430</v>
      </c>
      <c r="D2" s="902"/>
    </row>
    <row r="3" spans="1:4" ht="15.75" thickBot="1" x14ac:dyDescent="0.3">
      <c r="A3" s="899"/>
      <c r="B3" s="901"/>
      <c r="C3" s="184" t="s">
        <v>431</v>
      </c>
      <c r="D3" s="185" t="s">
        <v>432</v>
      </c>
    </row>
    <row r="4" spans="1:4" x14ac:dyDescent="0.25">
      <c r="A4" s="890" t="s">
        <v>433</v>
      </c>
      <c r="B4" s="891"/>
      <c r="C4" s="891"/>
      <c r="D4" s="892"/>
    </row>
    <row r="5" spans="1:4" x14ac:dyDescent="0.25">
      <c r="A5" s="186" t="s">
        <v>434</v>
      </c>
      <c r="B5" s="187" t="s">
        <v>435</v>
      </c>
      <c r="C5" s="188">
        <v>0</v>
      </c>
      <c r="D5" s="189">
        <v>0</v>
      </c>
    </row>
    <row r="6" spans="1:4" x14ac:dyDescent="0.25">
      <c r="A6" s="186" t="s">
        <v>436</v>
      </c>
      <c r="B6" s="187" t="s">
        <v>437</v>
      </c>
      <c r="C6" s="188">
        <v>1.4999999999999999E-2</v>
      </c>
      <c r="D6" s="189">
        <v>1.4999999999999999E-2</v>
      </c>
    </row>
    <row r="7" spans="1:4" x14ac:dyDescent="0.25">
      <c r="A7" s="186" t="s">
        <v>438</v>
      </c>
      <c r="B7" s="187" t="s">
        <v>439</v>
      </c>
      <c r="C7" s="188">
        <v>0.01</v>
      </c>
      <c r="D7" s="189">
        <v>0.01</v>
      </c>
    </row>
    <row r="8" spans="1:4" x14ac:dyDescent="0.25">
      <c r="A8" s="186" t="s">
        <v>440</v>
      </c>
      <c r="B8" s="187" t="s">
        <v>441</v>
      </c>
      <c r="C8" s="188">
        <v>2E-3</v>
      </c>
      <c r="D8" s="189">
        <v>2E-3</v>
      </c>
    </row>
    <row r="9" spans="1:4" x14ac:dyDescent="0.25">
      <c r="A9" s="186" t="s">
        <v>442</v>
      </c>
      <c r="B9" s="187" t="s">
        <v>443</v>
      </c>
      <c r="C9" s="188">
        <v>6.0000000000000001E-3</v>
      </c>
      <c r="D9" s="189">
        <v>6.0000000000000001E-3</v>
      </c>
    </row>
    <row r="10" spans="1:4" x14ac:dyDescent="0.25">
      <c r="A10" s="186" t="s">
        <v>444</v>
      </c>
      <c r="B10" s="187" t="s">
        <v>445</v>
      </c>
      <c r="C10" s="188">
        <v>2.5000000000000001E-2</v>
      </c>
      <c r="D10" s="189">
        <v>2.5000000000000001E-2</v>
      </c>
    </row>
    <row r="11" spans="1:4" x14ac:dyDescent="0.25">
      <c r="A11" s="186" t="s">
        <v>446</v>
      </c>
      <c r="B11" s="187" t="s">
        <v>447</v>
      </c>
      <c r="C11" s="188">
        <v>0.03</v>
      </c>
      <c r="D11" s="189">
        <v>0.03</v>
      </c>
    </row>
    <row r="12" spans="1:4" x14ac:dyDescent="0.25">
      <c r="A12" s="186" t="s">
        <v>448</v>
      </c>
      <c r="B12" s="187" t="s">
        <v>449</v>
      </c>
      <c r="C12" s="188">
        <v>0.08</v>
      </c>
      <c r="D12" s="189">
        <v>0.08</v>
      </c>
    </row>
    <row r="13" spans="1:4" x14ac:dyDescent="0.25">
      <c r="A13" s="186" t="s">
        <v>450</v>
      </c>
      <c r="B13" s="187" t="s">
        <v>451</v>
      </c>
      <c r="C13" s="188">
        <v>0</v>
      </c>
      <c r="D13" s="189">
        <v>0</v>
      </c>
    </row>
    <row r="14" spans="1:4" x14ac:dyDescent="0.25">
      <c r="A14" s="190" t="s">
        <v>452</v>
      </c>
      <c r="B14" s="191" t="s">
        <v>453</v>
      </c>
      <c r="C14" s="192">
        <v>0.16800000000000001</v>
      </c>
      <c r="D14" s="193">
        <v>0.16800000000000001</v>
      </c>
    </row>
    <row r="15" spans="1:4" x14ac:dyDescent="0.25">
      <c r="A15" s="890" t="s">
        <v>454</v>
      </c>
      <c r="B15" s="891"/>
      <c r="C15" s="891"/>
      <c r="D15" s="892"/>
    </row>
    <row r="16" spans="1:4" x14ac:dyDescent="0.25">
      <c r="A16" s="186" t="s">
        <v>455</v>
      </c>
      <c r="B16" s="187" t="s">
        <v>456</v>
      </c>
      <c r="C16" s="188">
        <v>0.17780000000000001</v>
      </c>
      <c r="D16" s="194" t="s">
        <v>457</v>
      </c>
    </row>
    <row r="17" spans="1:4" x14ac:dyDescent="0.25">
      <c r="A17" s="186" t="s">
        <v>458</v>
      </c>
      <c r="B17" s="187" t="s">
        <v>459</v>
      </c>
      <c r="C17" s="188">
        <v>3.6700000000000003E-2</v>
      </c>
      <c r="D17" s="194" t="s">
        <v>457</v>
      </c>
    </row>
    <row r="18" spans="1:4" x14ac:dyDescent="0.25">
      <c r="A18" s="186" t="s">
        <v>460</v>
      </c>
      <c r="B18" s="187" t="s">
        <v>461</v>
      </c>
      <c r="C18" s="188">
        <v>9.1999999999999998E-3</v>
      </c>
      <c r="D18" s="189">
        <v>6.8999999999999999E-3</v>
      </c>
    </row>
    <row r="19" spans="1:4" x14ac:dyDescent="0.25">
      <c r="A19" s="186" t="s">
        <v>462</v>
      </c>
      <c r="B19" s="187" t="s">
        <v>463</v>
      </c>
      <c r="C19" s="188">
        <v>0.11070000000000001</v>
      </c>
      <c r="D19" s="189">
        <v>8.3299999999999999E-2</v>
      </c>
    </row>
    <row r="20" spans="1:4" x14ac:dyDescent="0.25">
      <c r="A20" s="186" t="s">
        <v>464</v>
      </c>
      <c r="B20" s="187" t="s">
        <v>465</v>
      </c>
      <c r="C20" s="188">
        <v>8.0000000000000004E-4</v>
      </c>
      <c r="D20" s="189">
        <v>5.9999999999999995E-4</v>
      </c>
    </row>
    <row r="21" spans="1:4" x14ac:dyDescent="0.25">
      <c r="A21" s="186" t="s">
        <v>466</v>
      </c>
      <c r="B21" s="187" t="s">
        <v>467</v>
      </c>
      <c r="C21" s="188">
        <v>7.4000000000000003E-3</v>
      </c>
      <c r="D21" s="189">
        <v>5.5999999999999999E-3</v>
      </c>
    </row>
    <row r="22" spans="1:4" x14ac:dyDescent="0.25">
      <c r="A22" s="186" t="s">
        <v>468</v>
      </c>
      <c r="B22" s="187" t="s">
        <v>469</v>
      </c>
      <c r="C22" s="188">
        <v>1.0999999999999999E-2</v>
      </c>
      <c r="D22" s="194" t="s">
        <v>457</v>
      </c>
    </row>
    <row r="23" spans="1:4" x14ac:dyDescent="0.25">
      <c r="A23" s="186" t="s">
        <v>470</v>
      </c>
      <c r="B23" s="187" t="s">
        <v>471</v>
      </c>
      <c r="C23" s="188">
        <v>1.2999999999999999E-3</v>
      </c>
      <c r="D23" s="189">
        <v>8.9999999999999998E-4</v>
      </c>
    </row>
    <row r="24" spans="1:4" x14ac:dyDescent="0.25">
      <c r="A24" s="186" t="s">
        <v>472</v>
      </c>
      <c r="B24" s="187" t="s">
        <v>473</v>
      </c>
      <c r="C24" s="188">
        <v>0.1376</v>
      </c>
      <c r="D24" s="189">
        <v>0.1036</v>
      </c>
    </row>
    <row r="25" spans="1:4" x14ac:dyDescent="0.25">
      <c r="A25" s="186" t="s">
        <v>474</v>
      </c>
      <c r="B25" s="187" t="s">
        <v>475</v>
      </c>
      <c r="C25" s="188">
        <v>2.9999999999999997E-4</v>
      </c>
      <c r="D25" s="189">
        <v>2.0000000000000001E-4</v>
      </c>
    </row>
    <row r="26" spans="1:4" x14ac:dyDescent="0.25">
      <c r="A26" s="190" t="s">
        <v>476</v>
      </c>
      <c r="B26" s="191" t="s">
        <v>453</v>
      </c>
      <c r="C26" s="192">
        <v>0.49280000000000002</v>
      </c>
      <c r="D26" s="193">
        <v>0.2011</v>
      </c>
    </row>
    <row r="27" spans="1:4" x14ac:dyDescent="0.25">
      <c r="A27" s="890" t="s">
        <v>477</v>
      </c>
      <c r="B27" s="891"/>
      <c r="C27" s="891"/>
      <c r="D27" s="892"/>
    </row>
    <row r="28" spans="1:4" x14ac:dyDescent="0.25">
      <c r="A28" s="186" t="s">
        <v>478</v>
      </c>
      <c r="B28" s="187" t="s">
        <v>479</v>
      </c>
      <c r="C28" s="188">
        <v>8.2799999999999999E-2</v>
      </c>
      <c r="D28" s="189">
        <v>6.2300000000000001E-2</v>
      </c>
    </row>
    <row r="29" spans="1:4" x14ac:dyDescent="0.25">
      <c r="A29" s="186" t="s">
        <v>480</v>
      </c>
      <c r="B29" s="187" t="s">
        <v>481</v>
      </c>
      <c r="C29" s="188">
        <v>2E-3</v>
      </c>
      <c r="D29" s="189">
        <v>1.5E-3</v>
      </c>
    </row>
    <row r="30" spans="1:4" x14ac:dyDescent="0.25">
      <c r="A30" s="186" t="s">
        <v>482</v>
      </c>
      <c r="B30" s="187" t="s">
        <v>483</v>
      </c>
      <c r="C30" s="188">
        <v>9.2999999999999992E-3</v>
      </c>
      <c r="D30" s="189">
        <v>7.0000000000000001E-3</v>
      </c>
    </row>
    <row r="31" spans="1:4" x14ac:dyDescent="0.25">
      <c r="A31" s="186" t="s">
        <v>484</v>
      </c>
      <c r="B31" s="187" t="s">
        <v>485</v>
      </c>
      <c r="C31" s="188">
        <v>4.8399999999999999E-2</v>
      </c>
      <c r="D31" s="189">
        <v>3.6499999999999998E-2</v>
      </c>
    </row>
    <row r="32" spans="1:4" x14ac:dyDescent="0.25">
      <c r="A32" s="186" t="s">
        <v>486</v>
      </c>
      <c r="B32" s="187" t="s">
        <v>487</v>
      </c>
      <c r="C32" s="188">
        <v>7.0000000000000001E-3</v>
      </c>
      <c r="D32" s="189">
        <v>5.1999999999999998E-3</v>
      </c>
    </row>
    <row r="33" spans="1:4" x14ac:dyDescent="0.25">
      <c r="A33" s="190" t="s">
        <v>488</v>
      </c>
      <c r="B33" s="191" t="s">
        <v>453</v>
      </c>
      <c r="C33" s="192">
        <v>0.14949999999999999</v>
      </c>
      <c r="D33" s="193">
        <v>0.1125</v>
      </c>
    </row>
    <row r="34" spans="1:4" x14ac:dyDescent="0.25">
      <c r="A34" s="890" t="s">
        <v>489</v>
      </c>
      <c r="B34" s="891"/>
      <c r="C34" s="891"/>
      <c r="D34" s="892"/>
    </row>
    <row r="35" spans="1:4" x14ac:dyDescent="0.25">
      <c r="A35" s="186" t="s">
        <v>490</v>
      </c>
      <c r="B35" s="187" t="s">
        <v>491</v>
      </c>
      <c r="C35" s="188">
        <v>8.2799999999999999E-2</v>
      </c>
      <c r="D35" s="189">
        <v>3.3799999999999997E-2</v>
      </c>
    </row>
    <row r="36" spans="1:4" ht="24" x14ac:dyDescent="0.25">
      <c r="A36" s="186" t="s">
        <v>492</v>
      </c>
      <c r="B36" s="187" t="s">
        <v>493</v>
      </c>
      <c r="C36" s="188">
        <v>7.0000000000000001E-3</v>
      </c>
      <c r="D36" s="189">
        <v>5.1999999999999998E-3</v>
      </c>
    </row>
    <row r="37" spans="1:4" x14ac:dyDescent="0.25">
      <c r="A37" s="190" t="s">
        <v>494</v>
      </c>
      <c r="B37" s="191" t="s">
        <v>453</v>
      </c>
      <c r="C37" s="192">
        <v>8.9800000000000005E-2</v>
      </c>
      <c r="D37" s="193">
        <v>3.9E-2</v>
      </c>
    </row>
    <row r="38" spans="1:4" ht="15.75" thickBot="1" x14ac:dyDescent="0.3">
      <c r="A38" s="893" t="s">
        <v>495</v>
      </c>
      <c r="B38" s="894"/>
      <c r="C38" s="195">
        <v>0.90010000000000001</v>
      </c>
      <c r="D38" s="196">
        <v>0.52059999999999995</v>
      </c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view="pageLayout" zoomScaleNormal="100" zoomScaleSheetLayoutView="100" workbookViewId="0">
      <selection activeCell="A36" sqref="A36"/>
    </sheetView>
  </sheetViews>
  <sheetFormatPr defaultRowHeight="12.75" x14ac:dyDescent="0.2"/>
  <cols>
    <col min="1" max="1" width="36.140625" style="390" customWidth="1"/>
    <col min="2" max="2" width="26.5703125" style="390" customWidth="1"/>
    <col min="3" max="3" width="15.28515625" style="390" customWidth="1"/>
    <col min="4" max="256" width="9.140625" style="390"/>
    <col min="257" max="257" width="36.140625" style="390" customWidth="1"/>
    <col min="258" max="258" width="26.5703125" style="390" customWidth="1"/>
    <col min="259" max="259" width="15.28515625" style="390" customWidth="1"/>
    <col min="260" max="512" width="9.140625" style="390"/>
    <col min="513" max="513" width="36.140625" style="390" customWidth="1"/>
    <col min="514" max="514" width="26.5703125" style="390" customWidth="1"/>
    <col min="515" max="515" width="15.28515625" style="390" customWidth="1"/>
    <col min="516" max="768" width="9.140625" style="390"/>
    <col min="769" max="769" width="36.140625" style="390" customWidth="1"/>
    <col min="770" max="770" width="26.5703125" style="390" customWidth="1"/>
    <col min="771" max="771" width="15.28515625" style="390" customWidth="1"/>
    <col min="772" max="1024" width="9.140625" style="390"/>
    <col min="1025" max="1025" width="36.140625" style="390" customWidth="1"/>
    <col min="1026" max="1026" width="26.5703125" style="390" customWidth="1"/>
    <col min="1027" max="1027" width="15.28515625" style="390" customWidth="1"/>
    <col min="1028" max="1280" width="9.140625" style="390"/>
    <col min="1281" max="1281" width="36.140625" style="390" customWidth="1"/>
    <col min="1282" max="1282" width="26.5703125" style="390" customWidth="1"/>
    <col min="1283" max="1283" width="15.28515625" style="390" customWidth="1"/>
    <col min="1284" max="1536" width="9.140625" style="390"/>
    <col min="1537" max="1537" width="36.140625" style="390" customWidth="1"/>
    <col min="1538" max="1538" width="26.5703125" style="390" customWidth="1"/>
    <col min="1539" max="1539" width="15.28515625" style="390" customWidth="1"/>
    <col min="1540" max="1792" width="9.140625" style="390"/>
    <col min="1793" max="1793" width="36.140625" style="390" customWidth="1"/>
    <col min="1794" max="1794" width="26.5703125" style="390" customWidth="1"/>
    <col min="1795" max="1795" width="15.28515625" style="390" customWidth="1"/>
    <col min="1796" max="2048" width="9.140625" style="390"/>
    <col min="2049" max="2049" width="36.140625" style="390" customWidth="1"/>
    <col min="2050" max="2050" width="26.5703125" style="390" customWidth="1"/>
    <col min="2051" max="2051" width="15.28515625" style="390" customWidth="1"/>
    <col min="2052" max="2304" width="9.140625" style="390"/>
    <col min="2305" max="2305" width="36.140625" style="390" customWidth="1"/>
    <col min="2306" max="2306" width="26.5703125" style="390" customWidth="1"/>
    <col min="2307" max="2307" width="15.28515625" style="390" customWidth="1"/>
    <col min="2308" max="2560" width="9.140625" style="390"/>
    <col min="2561" max="2561" width="36.140625" style="390" customWidth="1"/>
    <col min="2562" max="2562" width="26.5703125" style="390" customWidth="1"/>
    <col min="2563" max="2563" width="15.28515625" style="390" customWidth="1"/>
    <col min="2564" max="2816" width="9.140625" style="390"/>
    <col min="2817" max="2817" width="36.140625" style="390" customWidth="1"/>
    <col min="2818" max="2818" width="26.5703125" style="390" customWidth="1"/>
    <col min="2819" max="2819" width="15.28515625" style="390" customWidth="1"/>
    <col min="2820" max="3072" width="9.140625" style="390"/>
    <col min="3073" max="3073" width="36.140625" style="390" customWidth="1"/>
    <col min="3074" max="3074" width="26.5703125" style="390" customWidth="1"/>
    <col min="3075" max="3075" width="15.28515625" style="390" customWidth="1"/>
    <col min="3076" max="3328" width="9.140625" style="390"/>
    <col min="3329" max="3329" width="36.140625" style="390" customWidth="1"/>
    <col min="3330" max="3330" width="26.5703125" style="390" customWidth="1"/>
    <col min="3331" max="3331" width="15.28515625" style="390" customWidth="1"/>
    <col min="3332" max="3584" width="9.140625" style="390"/>
    <col min="3585" max="3585" width="36.140625" style="390" customWidth="1"/>
    <col min="3586" max="3586" width="26.5703125" style="390" customWidth="1"/>
    <col min="3587" max="3587" width="15.28515625" style="390" customWidth="1"/>
    <col min="3588" max="3840" width="9.140625" style="390"/>
    <col min="3841" max="3841" width="36.140625" style="390" customWidth="1"/>
    <col min="3842" max="3842" width="26.5703125" style="390" customWidth="1"/>
    <col min="3843" max="3843" width="15.28515625" style="390" customWidth="1"/>
    <col min="3844" max="4096" width="9.140625" style="390"/>
    <col min="4097" max="4097" width="36.140625" style="390" customWidth="1"/>
    <col min="4098" max="4098" width="26.5703125" style="390" customWidth="1"/>
    <col min="4099" max="4099" width="15.28515625" style="390" customWidth="1"/>
    <col min="4100" max="4352" width="9.140625" style="390"/>
    <col min="4353" max="4353" width="36.140625" style="390" customWidth="1"/>
    <col min="4354" max="4354" width="26.5703125" style="390" customWidth="1"/>
    <col min="4355" max="4355" width="15.28515625" style="390" customWidth="1"/>
    <col min="4356" max="4608" width="9.140625" style="390"/>
    <col min="4609" max="4609" width="36.140625" style="390" customWidth="1"/>
    <col min="4610" max="4610" width="26.5703125" style="390" customWidth="1"/>
    <col min="4611" max="4611" width="15.28515625" style="390" customWidth="1"/>
    <col min="4612" max="4864" width="9.140625" style="390"/>
    <col min="4865" max="4865" width="36.140625" style="390" customWidth="1"/>
    <col min="4866" max="4866" width="26.5703125" style="390" customWidth="1"/>
    <col min="4867" max="4867" width="15.28515625" style="390" customWidth="1"/>
    <col min="4868" max="5120" width="9.140625" style="390"/>
    <col min="5121" max="5121" width="36.140625" style="390" customWidth="1"/>
    <col min="5122" max="5122" width="26.5703125" style="390" customWidth="1"/>
    <col min="5123" max="5123" width="15.28515625" style="390" customWidth="1"/>
    <col min="5124" max="5376" width="9.140625" style="390"/>
    <col min="5377" max="5377" width="36.140625" style="390" customWidth="1"/>
    <col min="5378" max="5378" width="26.5703125" style="390" customWidth="1"/>
    <col min="5379" max="5379" width="15.28515625" style="390" customWidth="1"/>
    <col min="5380" max="5632" width="9.140625" style="390"/>
    <col min="5633" max="5633" width="36.140625" style="390" customWidth="1"/>
    <col min="5634" max="5634" width="26.5703125" style="390" customWidth="1"/>
    <col min="5635" max="5635" width="15.28515625" style="390" customWidth="1"/>
    <col min="5636" max="5888" width="9.140625" style="390"/>
    <col min="5889" max="5889" width="36.140625" style="390" customWidth="1"/>
    <col min="5890" max="5890" width="26.5703125" style="390" customWidth="1"/>
    <col min="5891" max="5891" width="15.28515625" style="390" customWidth="1"/>
    <col min="5892" max="6144" width="9.140625" style="390"/>
    <col min="6145" max="6145" width="36.140625" style="390" customWidth="1"/>
    <col min="6146" max="6146" width="26.5703125" style="390" customWidth="1"/>
    <col min="6147" max="6147" width="15.28515625" style="390" customWidth="1"/>
    <col min="6148" max="6400" width="9.140625" style="390"/>
    <col min="6401" max="6401" width="36.140625" style="390" customWidth="1"/>
    <col min="6402" max="6402" width="26.5703125" style="390" customWidth="1"/>
    <col min="6403" max="6403" width="15.28515625" style="390" customWidth="1"/>
    <col min="6404" max="6656" width="9.140625" style="390"/>
    <col min="6657" max="6657" width="36.140625" style="390" customWidth="1"/>
    <col min="6658" max="6658" width="26.5703125" style="390" customWidth="1"/>
    <col min="6659" max="6659" width="15.28515625" style="390" customWidth="1"/>
    <col min="6660" max="6912" width="9.140625" style="390"/>
    <col min="6913" max="6913" width="36.140625" style="390" customWidth="1"/>
    <col min="6914" max="6914" width="26.5703125" style="390" customWidth="1"/>
    <col min="6915" max="6915" width="15.28515625" style="390" customWidth="1"/>
    <col min="6916" max="7168" width="9.140625" style="390"/>
    <col min="7169" max="7169" width="36.140625" style="390" customWidth="1"/>
    <col min="7170" max="7170" width="26.5703125" style="390" customWidth="1"/>
    <col min="7171" max="7171" width="15.28515625" style="390" customWidth="1"/>
    <col min="7172" max="7424" width="9.140625" style="390"/>
    <col min="7425" max="7425" width="36.140625" style="390" customWidth="1"/>
    <col min="7426" max="7426" width="26.5703125" style="390" customWidth="1"/>
    <col min="7427" max="7427" width="15.28515625" style="390" customWidth="1"/>
    <col min="7428" max="7680" width="9.140625" style="390"/>
    <col min="7681" max="7681" width="36.140625" style="390" customWidth="1"/>
    <col min="7682" max="7682" width="26.5703125" style="390" customWidth="1"/>
    <col min="7683" max="7683" width="15.28515625" style="390" customWidth="1"/>
    <col min="7684" max="7936" width="9.140625" style="390"/>
    <col min="7937" max="7937" width="36.140625" style="390" customWidth="1"/>
    <col min="7938" max="7938" width="26.5703125" style="390" customWidth="1"/>
    <col min="7939" max="7939" width="15.28515625" style="390" customWidth="1"/>
    <col min="7940" max="8192" width="9.140625" style="390"/>
    <col min="8193" max="8193" width="36.140625" style="390" customWidth="1"/>
    <col min="8194" max="8194" width="26.5703125" style="390" customWidth="1"/>
    <col min="8195" max="8195" width="15.28515625" style="390" customWidth="1"/>
    <col min="8196" max="8448" width="9.140625" style="390"/>
    <col min="8449" max="8449" width="36.140625" style="390" customWidth="1"/>
    <col min="8450" max="8450" width="26.5703125" style="390" customWidth="1"/>
    <col min="8451" max="8451" width="15.28515625" style="390" customWidth="1"/>
    <col min="8452" max="8704" width="9.140625" style="390"/>
    <col min="8705" max="8705" width="36.140625" style="390" customWidth="1"/>
    <col min="8706" max="8706" width="26.5703125" style="390" customWidth="1"/>
    <col min="8707" max="8707" width="15.28515625" style="390" customWidth="1"/>
    <col min="8708" max="8960" width="9.140625" style="390"/>
    <col min="8961" max="8961" width="36.140625" style="390" customWidth="1"/>
    <col min="8962" max="8962" width="26.5703125" style="390" customWidth="1"/>
    <col min="8963" max="8963" width="15.28515625" style="390" customWidth="1"/>
    <col min="8964" max="9216" width="9.140625" style="390"/>
    <col min="9217" max="9217" width="36.140625" style="390" customWidth="1"/>
    <col min="9218" max="9218" width="26.5703125" style="390" customWidth="1"/>
    <col min="9219" max="9219" width="15.28515625" style="390" customWidth="1"/>
    <col min="9220" max="9472" width="9.140625" style="390"/>
    <col min="9473" max="9473" width="36.140625" style="390" customWidth="1"/>
    <col min="9474" max="9474" width="26.5703125" style="390" customWidth="1"/>
    <col min="9475" max="9475" width="15.28515625" style="390" customWidth="1"/>
    <col min="9476" max="9728" width="9.140625" style="390"/>
    <col min="9729" max="9729" width="36.140625" style="390" customWidth="1"/>
    <col min="9730" max="9730" width="26.5703125" style="390" customWidth="1"/>
    <col min="9731" max="9731" width="15.28515625" style="390" customWidth="1"/>
    <col min="9732" max="9984" width="9.140625" style="390"/>
    <col min="9985" max="9985" width="36.140625" style="390" customWidth="1"/>
    <col min="9986" max="9986" width="26.5703125" style="390" customWidth="1"/>
    <col min="9987" max="9987" width="15.28515625" style="390" customWidth="1"/>
    <col min="9988" max="10240" width="9.140625" style="390"/>
    <col min="10241" max="10241" width="36.140625" style="390" customWidth="1"/>
    <col min="10242" max="10242" width="26.5703125" style="390" customWidth="1"/>
    <col min="10243" max="10243" width="15.28515625" style="390" customWidth="1"/>
    <col min="10244" max="10496" width="9.140625" style="390"/>
    <col min="10497" max="10497" width="36.140625" style="390" customWidth="1"/>
    <col min="10498" max="10498" width="26.5703125" style="390" customWidth="1"/>
    <col min="10499" max="10499" width="15.28515625" style="390" customWidth="1"/>
    <col min="10500" max="10752" width="9.140625" style="390"/>
    <col min="10753" max="10753" width="36.140625" style="390" customWidth="1"/>
    <col min="10754" max="10754" width="26.5703125" style="390" customWidth="1"/>
    <col min="10755" max="10755" width="15.28515625" style="390" customWidth="1"/>
    <col min="10756" max="11008" width="9.140625" style="390"/>
    <col min="11009" max="11009" width="36.140625" style="390" customWidth="1"/>
    <col min="11010" max="11010" width="26.5703125" style="390" customWidth="1"/>
    <col min="11011" max="11011" width="15.28515625" style="390" customWidth="1"/>
    <col min="11012" max="11264" width="9.140625" style="390"/>
    <col min="11265" max="11265" width="36.140625" style="390" customWidth="1"/>
    <col min="11266" max="11266" width="26.5703125" style="390" customWidth="1"/>
    <col min="11267" max="11267" width="15.28515625" style="390" customWidth="1"/>
    <col min="11268" max="11520" width="9.140625" style="390"/>
    <col min="11521" max="11521" width="36.140625" style="390" customWidth="1"/>
    <col min="11522" max="11522" width="26.5703125" style="390" customWidth="1"/>
    <col min="11523" max="11523" width="15.28515625" style="390" customWidth="1"/>
    <col min="11524" max="11776" width="9.140625" style="390"/>
    <col min="11777" max="11777" width="36.140625" style="390" customWidth="1"/>
    <col min="11778" max="11778" width="26.5703125" style="390" customWidth="1"/>
    <col min="11779" max="11779" width="15.28515625" style="390" customWidth="1"/>
    <col min="11780" max="12032" width="9.140625" style="390"/>
    <col min="12033" max="12033" width="36.140625" style="390" customWidth="1"/>
    <col min="12034" max="12034" width="26.5703125" style="390" customWidth="1"/>
    <col min="12035" max="12035" width="15.28515625" style="390" customWidth="1"/>
    <col min="12036" max="12288" width="9.140625" style="390"/>
    <col min="12289" max="12289" width="36.140625" style="390" customWidth="1"/>
    <col min="12290" max="12290" width="26.5703125" style="390" customWidth="1"/>
    <col min="12291" max="12291" width="15.28515625" style="390" customWidth="1"/>
    <col min="12292" max="12544" width="9.140625" style="390"/>
    <col min="12545" max="12545" width="36.140625" style="390" customWidth="1"/>
    <col min="12546" max="12546" width="26.5703125" style="390" customWidth="1"/>
    <col min="12547" max="12547" width="15.28515625" style="390" customWidth="1"/>
    <col min="12548" max="12800" width="9.140625" style="390"/>
    <col min="12801" max="12801" width="36.140625" style="390" customWidth="1"/>
    <col min="12802" max="12802" width="26.5703125" style="390" customWidth="1"/>
    <col min="12803" max="12803" width="15.28515625" style="390" customWidth="1"/>
    <col min="12804" max="13056" width="9.140625" style="390"/>
    <col min="13057" max="13057" width="36.140625" style="390" customWidth="1"/>
    <col min="13058" max="13058" width="26.5703125" style="390" customWidth="1"/>
    <col min="13059" max="13059" width="15.28515625" style="390" customWidth="1"/>
    <col min="13060" max="13312" width="9.140625" style="390"/>
    <col min="13313" max="13313" width="36.140625" style="390" customWidth="1"/>
    <col min="13314" max="13314" width="26.5703125" style="390" customWidth="1"/>
    <col min="13315" max="13315" width="15.28515625" style="390" customWidth="1"/>
    <col min="13316" max="13568" width="9.140625" style="390"/>
    <col min="13569" max="13569" width="36.140625" style="390" customWidth="1"/>
    <col min="13570" max="13570" width="26.5703125" style="390" customWidth="1"/>
    <col min="13571" max="13571" width="15.28515625" style="390" customWidth="1"/>
    <col min="13572" max="13824" width="9.140625" style="390"/>
    <col min="13825" max="13825" width="36.140625" style="390" customWidth="1"/>
    <col min="13826" max="13826" width="26.5703125" style="390" customWidth="1"/>
    <col min="13827" max="13827" width="15.28515625" style="390" customWidth="1"/>
    <col min="13828" max="14080" width="9.140625" style="390"/>
    <col min="14081" max="14081" width="36.140625" style="390" customWidth="1"/>
    <col min="14082" max="14082" width="26.5703125" style="390" customWidth="1"/>
    <col min="14083" max="14083" width="15.28515625" style="390" customWidth="1"/>
    <col min="14084" max="14336" width="9.140625" style="390"/>
    <col min="14337" max="14337" width="36.140625" style="390" customWidth="1"/>
    <col min="14338" max="14338" width="26.5703125" style="390" customWidth="1"/>
    <col min="14339" max="14339" width="15.28515625" style="390" customWidth="1"/>
    <col min="14340" max="14592" width="9.140625" style="390"/>
    <col min="14593" max="14593" width="36.140625" style="390" customWidth="1"/>
    <col min="14594" max="14594" width="26.5703125" style="390" customWidth="1"/>
    <col min="14595" max="14595" width="15.28515625" style="390" customWidth="1"/>
    <col min="14596" max="14848" width="9.140625" style="390"/>
    <col min="14849" max="14849" width="36.140625" style="390" customWidth="1"/>
    <col min="14850" max="14850" width="26.5703125" style="390" customWidth="1"/>
    <col min="14851" max="14851" width="15.28515625" style="390" customWidth="1"/>
    <col min="14852" max="15104" width="9.140625" style="390"/>
    <col min="15105" max="15105" width="36.140625" style="390" customWidth="1"/>
    <col min="15106" max="15106" width="26.5703125" style="390" customWidth="1"/>
    <col min="15107" max="15107" width="15.28515625" style="390" customWidth="1"/>
    <col min="15108" max="15360" width="9.140625" style="390"/>
    <col min="15361" max="15361" width="36.140625" style="390" customWidth="1"/>
    <col min="15362" max="15362" width="26.5703125" style="390" customWidth="1"/>
    <col min="15363" max="15363" width="15.28515625" style="390" customWidth="1"/>
    <col min="15364" max="15616" width="9.140625" style="390"/>
    <col min="15617" max="15617" width="36.140625" style="390" customWidth="1"/>
    <col min="15618" max="15618" width="26.5703125" style="390" customWidth="1"/>
    <col min="15619" max="15619" width="15.28515625" style="390" customWidth="1"/>
    <col min="15620" max="15872" width="9.140625" style="390"/>
    <col min="15873" max="15873" width="36.140625" style="390" customWidth="1"/>
    <col min="15874" max="15874" width="26.5703125" style="390" customWidth="1"/>
    <col min="15875" max="15875" width="15.28515625" style="390" customWidth="1"/>
    <col min="15876" max="16128" width="9.140625" style="390"/>
    <col min="16129" max="16129" width="36.140625" style="390" customWidth="1"/>
    <col min="16130" max="16130" width="26.5703125" style="390" customWidth="1"/>
    <col min="16131" max="16131" width="15.28515625" style="390" customWidth="1"/>
    <col min="16132" max="16384" width="9.140625" style="390"/>
  </cols>
  <sheetData>
    <row r="1" spans="1:3" ht="15.75" thickBot="1" x14ac:dyDescent="0.3">
      <c r="A1" s="910" t="s">
        <v>2658</v>
      </c>
      <c r="B1" s="911"/>
      <c r="C1" s="912"/>
    </row>
    <row r="2" spans="1:3" ht="15" x14ac:dyDescent="0.25">
      <c r="A2" s="913" t="s">
        <v>2659</v>
      </c>
      <c r="B2" s="914"/>
      <c r="C2" s="391" t="s">
        <v>2660</v>
      </c>
    </row>
    <row r="3" spans="1:3" x14ac:dyDescent="0.2">
      <c r="A3" s="392" t="s">
        <v>214</v>
      </c>
      <c r="B3" s="393" t="s">
        <v>215</v>
      </c>
      <c r="C3" s="394">
        <v>0.03</v>
      </c>
    </row>
    <row r="4" spans="1:3" x14ac:dyDescent="0.2">
      <c r="A4" s="392" t="s">
        <v>216</v>
      </c>
      <c r="B4" s="393" t="s">
        <v>217</v>
      </c>
      <c r="C4" s="394">
        <v>0.01</v>
      </c>
    </row>
    <row r="5" spans="1:3" x14ac:dyDescent="0.2">
      <c r="A5" s="392" t="s">
        <v>218</v>
      </c>
      <c r="B5" s="393" t="s">
        <v>219</v>
      </c>
      <c r="C5" s="394">
        <v>9.7000000000000003E-3</v>
      </c>
    </row>
    <row r="6" spans="1:3" x14ac:dyDescent="0.2">
      <c r="A6" s="392" t="s">
        <v>220</v>
      </c>
      <c r="B6" s="915" t="s">
        <v>221</v>
      </c>
      <c r="C6" s="394">
        <v>8.0000000000000002E-3</v>
      </c>
    </row>
    <row r="7" spans="1:3" x14ac:dyDescent="0.2">
      <c r="A7" s="395" t="s">
        <v>222</v>
      </c>
      <c r="B7" s="916"/>
      <c r="C7" s="396">
        <v>2E-3</v>
      </c>
    </row>
    <row r="8" spans="1:3" ht="15.75" thickBot="1" x14ac:dyDescent="0.3">
      <c r="A8" s="397"/>
      <c r="B8" s="398" t="s">
        <v>223</v>
      </c>
      <c r="C8" s="399">
        <f>SUM(C3:C7)</f>
        <v>5.9700000000000003E-2</v>
      </c>
    </row>
    <row r="9" spans="1:3" ht="15.75" thickTop="1" x14ac:dyDescent="0.25">
      <c r="A9" s="392"/>
      <c r="B9" s="400"/>
      <c r="C9" s="401"/>
    </row>
    <row r="10" spans="1:3" ht="15" x14ac:dyDescent="0.25">
      <c r="A10" s="917" t="s">
        <v>2661</v>
      </c>
      <c r="B10" s="918"/>
      <c r="C10" s="402" t="s">
        <v>2660</v>
      </c>
    </row>
    <row r="11" spans="1:3" x14ac:dyDescent="0.2">
      <c r="A11" s="403" t="s">
        <v>224</v>
      </c>
      <c r="B11" s="404" t="s">
        <v>225</v>
      </c>
      <c r="C11" s="405">
        <v>7.3999999999999996E-2</v>
      </c>
    </row>
    <row r="12" spans="1:3" ht="15.75" thickBot="1" x14ac:dyDescent="0.3">
      <c r="A12" s="397"/>
      <c r="B12" s="398" t="s">
        <v>223</v>
      </c>
      <c r="C12" s="399">
        <f>SUM(C11)</f>
        <v>7.3999999999999996E-2</v>
      </c>
    </row>
    <row r="13" spans="1:3" ht="13.5" thickTop="1" x14ac:dyDescent="0.2">
      <c r="A13" s="392"/>
      <c r="C13" s="406"/>
    </row>
    <row r="14" spans="1:3" ht="15" x14ac:dyDescent="0.25">
      <c r="A14" s="917" t="s">
        <v>2662</v>
      </c>
      <c r="B14" s="918"/>
      <c r="C14" s="407">
        <v>0.14130000000000001</v>
      </c>
    </row>
    <row r="15" spans="1:3" ht="15" x14ac:dyDescent="0.25">
      <c r="A15" s="917" t="s">
        <v>2663</v>
      </c>
      <c r="B15" s="918"/>
      <c r="C15" s="402" t="s">
        <v>2660</v>
      </c>
    </row>
    <row r="16" spans="1:3" x14ac:dyDescent="0.2">
      <c r="A16" s="408" t="s">
        <v>226</v>
      </c>
      <c r="B16" s="390" t="s">
        <v>227</v>
      </c>
      <c r="C16" s="394">
        <v>6.4999999999999997E-3</v>
      </c>
    </row>
    <row r="17" spans="1:3" x14ac:dyDescent="0.2">
      <c r="A17" s="408" t="s">
        <v>228</v>
      </c>
      <c r="B17" s="390" t="s">
        <v>229</v>
      </c>
      <c r="C17" s="394">
        <v>0.03</v>
      </c>
    </row>
    <row r="18" spans="1:3" x14ac:dyDescent="0.2">
      <c r="A18" s="409" t="s">
        <v>230</v>
      </c>
      <c r="B18" s="410" t="s">
        <v>2664</v>
      </c>
      <c r="C18" s="411">
        <v>0.02</v>
      </c>
    </row>
    <row r="19" spans="1:3" x14ac:dyDescent="0.2">
      <c r="A19" s="392" t="s">
        <v>231</v>
      </c>
      <c r="C19" s="394">
        <v>4.4999999999999998E-2</v>
      </c>
    </row>
    <row r="20" spans="1:3" ht="15.75" thickBot="1" x14ac:dyDescent="0.3">
      <c r="A20" s="412"/>
      <c r="B20" s="413" t="s">
        <v>223</v>
      </c>
      <c r="C20" s="414">
        <f>SUM(C16:C19)</f>
        <v>0.10149999999999999</v>
      </c>
    </row>
    <row r="21" spans="1:3" ht="13.5" thickTop="1" x14ac:dyDescent="0.2">
      <c r="A21" s="392"/>
      <c r="C21" s="406"/>
    </row>
    <row r="22" spans="1:3" ht="15.75" x14ac:dyDescent="0.2">
      <c r="A22" s="415" t="s">
        <v>2665</v>
      </c>
      <c r="B22" s="416"/>
      <c r="C22" s="417">
        <f>ROUND((((1+C3+C6+C5+C7)*(1+C4)*(1+C11)/((1-C20)))-1),4)</f>
        <v>0.26729999999999998</v>
      </c>
    </row>
    <row r="23" spans="1:3" x14ac:dyDescent="0.2">
      <c r="A23" s="392" t="s">
        <v>232</v>
      </c>
      <c r="C23" s="394">
        <v>0.80220000000000002</v>
      </c>
    </row>
    <row r="24" spans="1:3" x14ac:dyDescent="0.2">
      <c r="A24" s="392" t="s">
        <v>428</v>
      </c>
      <c r="C24" s="394">
        <v>1</v>
      </c>
    </row>
    <row r="25" spans="1:3" ht="13.5" thickBot="1" x14ac:dyDescent="0.25">
      <c r="A25" s="412" t="s">
        <v>233</v>
      </c>
      <c r="B25" s="418"/>
      <c r="C25" s="419">
        <f>C22</f>
        <v>0.26729999999999998</v>
      </c>
    </row>
    <row r="26" spans="1:3" ht="13.5" thickTop="1" x14ac:dyDescent="0.2">
      <c r="A26" s="392"/>
      <c r="C26" s="406"/>
    </row>
    <row r="27" spans="1:3" x14ac:dyDescent="0.2">
      <c r="A27" s="392"/>
      <c r="C27" s="406"/>
    </row>
    <row r="28" spans="1:3" x14ac:dyDescent="0.2">
      <c r="A28" s="903" t="s">
        <v>234</v>
      </c>
      <c r="B28" s="904"/>
      <c r="C28" s="905"/>
    </row>
    <row r="29" spans="1:3" x14ac:dyDescent="0.2">
      <c r="A29" s="420" t="s">
        <v>2666</v>
      </c>
      <c r="B29" s="421" t="s">
        <v>237</v>
      </c>
      <c r="C29" s="422"/>
    </row>
    <row r="30" spans="1:3" x14ac:dyDescent="0.2">
      <c r="A30" s="420" t="s">
        <v>235</v>
      </c>
      <c r="B30" s="421" t="s">
        <v>238</v>
      </c>
      <c r="C30" s="422"/>
    </row>
    <row r="31" spans="1:3" ht="21.75" customHeight="1" x14ac:dyDescent="0.2">
      <c r="A31" s="420" t="s">
        <v>236</v>
      </c>
      <c r="B31" s="906" t="s">
        <v>239</v>
      </c>
      <c r="C31" s="907"/>
    </row>
    <row r="32" spans="1:3" ht="23.25" customHeight="1" x14ac:dyDescent="0.2">
      <c r="A32" s="423"/>
      <c r="B32" s="908" t="s">
        <v>240</v>
      </c>
      <c r="C32" s="909"/>
    </row>
    <row r="33" spans="1:3" x14ac:dyDescent="0.2">
      <c r="A33" s="424"/>
      <c r="C33" s="425"/>
    </row>
    <row r="34" spans="1:3" ht="12.75" customHeight="1" x14ac:dyDescent="0.2">
      <c r="A34" s="426" t="s">
        <v>241</v>
      </c>
      <c r="B34" s="427" t="s">
        <v>242</v>
      </c>
      <c r="C34" s="428"/>
    </row>
    <row r="35" spans="1:3" ht="15.75" thickBot="1" x14ac:dyDescent="0.3">
      <c r="A35" s="429" t="s">
        <v>3360</v>
      </c>
      <c r="B35" s="430" t="s">
        <v>243</v>
      </c>
      <c r="C35" s="431"/>
    </row>
    <row r="36" spans="1:3" ht="15" x14ac:dyDescent="0.25">
      <c r="A36" s="432"/>
      <c r="B36" s="433"/>
      <c r="C36" s="434"/>
    </row>
  </sheetData>
  <mergeCells count="9">
    <mergeCell ref="A28:C28"/>
    <mergeCell ref="B31:C31"/>
    <mergeCell ref="B32:C32"/>
    <mergeCell ref="A1:C1"/>
    <mergeCell ref="A2:B2"/>
    <mergeCell ref="B6:B7"/>
    <mergeCell ref="A10:B10"/>
    <mergeCell ref="A14:B14"/>
    <mergeCell ref="A15:B15"/>
  </mergeCells>
  <printOptions horizontalCentered="1" verticalCentered="1"/>
  <pageMargins left="0.39370078740157483" right="0.39370078740157483" top="1.0625" bottom="0.78740157480314965" header="0.31496062992125984" footer="0.31496062992125984"/>
  <pageSetup scale="120" orientation="portrait" r:id="rId1"/>
  <headerFooter>
    <oddHeader>&amp;L&amp;G&amp;C&amp;"-,Negrito"&amp;8GOVERNO DO ESTADO DE MATO GROSSO&amp;"-,Regular"
SECRETARIA DE ESTADO DE EDUCAÇÃO
SECRETARIA ADJUNTA DE ESTRUTURA ESCOLAR&amp;R&amp;G</oddHeader>
    <oddFooter>&amp;L&amp;7Secretaria de Estado de Educação, Esporte e Lazer de Mato Grosso
Rua Engenheiro Edgar Prado Arze, 215 - Centro Político Administrativo
CEP: 78049-909 | Cuiabá-MT
Fone: (65) 3613-6300&amp;C&amp;8&amp;N&amp;R&amp;8COMPOSIÇÃO DE PARCELA DE BDI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13" workbookViewId="0">
      <selection activeCell="A36" sqref="A36"/>
    </sheetView>
  </sheetViews>
  <sheetFormatPr defaultRowHeight="15" x14ac:dyDescent="0.25"/>
  <cols>
    <col min="1" max="1" width="36.140625" style="390" customWidth="1"/>
    <col min="2" max="2" width="26.5703125" style="390" customWidth="1"/>
    <col min="3" max="3" width="15.28515625" style="390" customWidth="1"/>
  </cols>
  <sheetData>
    <row r="1" spans="1:3" ht="39.75" customHeight="1" thickBot="1" x14ac:dyDescent="0.3">
      <c r="A1" s="919" t="s">
        <v>2672</v>
      </c>
      <c r="B1" s="920"/>
      <c r="C1" s="921"/>
    </row>
    <row r="2" spans="1:3" x14ac:dyDescent="0.25">
      <c r="A2" s="913" t="s">
        <v>2659</v>
      </c>
      <c r="B2" s="914"/>
      <c r="C2" s="391" t="s">
        <v>2660</v>
      </c>
    </row>
    <row r="3" spans="1:3" x14ac:dyDescent="0.25">
      <c r="A3" s="392" t="s">
        <v>214</v>
      </c>
      <c r="B3" s="393" t="s">
        <v>215</v>
      </c>
      <c r="C3" s="435">
        <v>1.4999999999999999E-2</v>
      </c>
    </row>
    <row r="4" spans="1:3" x14ac:dyDescent="0.25">
      <c r="A4" s="392" t="s">
        <v>216</v>
      </c>
      <c r="B4" s="393" t="s">
        <v>217</v>
      </c>
      <c r="C4" s="435">
        <v>8.5000000000000006E-3</v>
      </c>
    </row>
    <row r="5" spans="1:3" x14ac:dyDescent="0.25">
      <c r="A5" s="392" t="s">
        <v>218</v>
      </c>
      <c r="B5" s="393" t="s">
        <v>219</v>
      </c>
      <c r="C5" s="435">
        <v>3.5999999999999999E-3</v>
      </c>
    </row>
    <row r="6" spans="1:3" x14ac:dyDescent="0.25">
      <c r="A6" s="392" t="s">
        <v>220</v>
      </c>
      <c r="B6" s="915" t="s">
        <v>221</v>
      </c>
      <c r="C6" s="435">
        <v>1.5E-3</v>
      </c>
    </row>
    <row r="7" spans="1:3" x14ac:dyDescent="0.25">
      <c r="A7" s="395" t="s">
        <v>222</v>
      </c>
      <c r="B7" s="916"/>
      <c r="C7" s="436">
        <v>1.5E-3</v>
      </c>
    </row>
    <row r="8" spans="1:3" ht="15.75" thickBot="1" x14ac:dyDescent="0.3">
      <c r="A8" s="397"/>
      <c r="B8" s="398" t="s">
        <v>223</v>
      </c>
      <c r="C8" s="399">
        <f>SUM(C3:C7)</f>
        <v>3.0100000000000002E-2</v>
      </c>
    </row>
    <row r="9" spans="1:3" ht="15.75" thickTop="1" x14ac:dyDescent="0.25">
      <c r="A9" s="392"/>
      <c r="B9" s="400"/>
      <c r="C9" s="401"/>
    </row>
    <row r="10" spans="1:3" x14ac:dyDescent="0.25">
      <c r="A10" s="917" t="s">
        <v>2661</v>
      </c>
      <c r="B10" s="918"/>
      <c r="C10" s="402" t="s">
        <v>2660</v>
      </c>
    </row>
    <row r="11" spans="1:3" x14ac:dyDescent="0.25">
      <c r="A11" s="403" t="s">
        <v>224</v>
      </c>
      <c r="B11" s="404" t="s">
        <v>2671</v>
      </c>
      <c r="C11" s="437">
        <v>1.4999999999999999E-2</v>
      </c>
    </row>
    <row r="12" spans="1:3" ht="15.75" thickBot="1" x14ac:dyDescent="0.3">
      <c r="A12" s="397"/>
      <c r="B12" s="398" t="s">
        <v>223</v>
      </c>
      <c r="C12" s="399">
        <f>SUM(C11)</f>
        <v>1.4999999999999999E-2</v>
      </c>
    </row>
    <row r="13" spans="1:3" ht="15.75" thickTop="1" x14ac:dyDescent="0.25">
      <c r="A13" s="392"/>
      <c r="C13" s="406"/>
    </row>
    <row r="14" spans="1:3" x14ac:dyDescent="0.25">
      <c r="A14" s="917" t="s">
        <v>2662</v>
      </c>
      <c r="B14" s="918"/>
      <c r="C14" s="438">
        <v>0.14130000000000001</v>
      </c>
    </row>
    <row r="15" spans="1:3" x14ac:dyDescent="0.25">
      <c r="A15" s="917" t="s">
        <v>2663</v>
      </c>
      <c r="B15" s="918"/>
      <c r="C15" s="402" t="s">
        <v>2660</v>
      </c>
    </row>
    <row r="16" spans="1:3" x14ac:dyDescent="0.25">
      <c r="A16" s="408" t="s">
        <v>226</v>
      </c>
      <c r="B16" s="390" t="s">
        <v>227</v>
      </c>
      <c r="C16" s="435">
        <v>6.4999999999999997E-3</v>
      </c>
    </row>
    <row r="17" spans="1:3" x14ac:dyDescent="0.25">
      <c r="A17" s="408" t="s">
        <v>228</v>
      </c>
      <c r="B17" s="390" t="s">
        <v>229</v>
      </c>
      <c r="C17" s="435">
        <v>0.03</v>
      </c>
    </row>
    <row r="18" spans="1:3" x14ac:dyDescent="0.25">
      <c r="A18" s="409" t="s">
        <v>230</v>
      </c>
      <c r="B18" s="410" t="s">
        <v>2664</v>
      </c>
      <c r="C18" s="439">
        <v>0.02</v>
      </c>
    </row>
    <row r="19" spans="1:3" x14ac:dyDescent="0.25">
      <c r="A19" s="392" t="s">
        <v>231</v>
      </c>
      <c r="C19" s="435">
        <v>4.4999999999999998E-2</v>
      </c>
    </row>
    <row r="20" spans="1:3" ht="15.75" thickBot="1" x14ac:dyDescent="0.3">
      <c r="A20" s="412"/>
      <c r="B20" s="413" t="s">
        <v>223</v>
      </c>
      <c r="C20" s="414">
        <f>SUM(C16:C19)</f>
        <v>0.10149999999999999</v>
      </c>
    </row>
    <row r="21" spans="1:3" ht="15.75" thickTop="1" x14ac:dyDescent="0.25">
      <c r="A21" s="392"/>
      <c r="C21" s="406"/>
    </row>
    <row r="22" spans="1:3" ht="15.75" x14ac:dyDescent="0.25">
      <c r="A22" s="415" t="s">
        <v>2665</v>
      </c>
      <c r="B22" s="416"/>
      <c r="C22" s="417">
        <f>ROUND((((1+C3+C6+C5+C7)*(1+C4)*(1+C11)/((1-C20)))-1),4)</f>
        <v>0.16389999999999999</v>
      </c>
    </row>
    <row r="23" spans="1:3" x14ac:dyDescent="0.25">
      <c r="A23" s="392" t="s">
        <v>232</v>
      </c>
      <c r="C23" s="435">
        <v>0.80220000000000002</v>
      </c>
    </row>
    <row r="24" spans="1:3" x14ac:dyDescent="0.25">
      <c r="A24" s="392" t="s">
        <v>428</v>
      </c>
      <c r="C24" s="435">
        <v>1</v>
      </c>
    </row>
    <row r="25" spans="1:3" ht="15.75" thickBot="1" x14ac:dyDescent="0.3">
      <c r="A25" s="412" t="s">
        <v>233</v>
      </c>
      <c r="B25" s="418"/>
      <c r="C25" s="440">
        <f>C22</f>
        <v>0.16389999999999999</v>
      </c>
    </row>
    <row r="26" spans="1:3" ht="15.75" thickTop="1" x14ac:dyDescent="0.25">
      <c r="A26" s="392"/>
      <c r="C26" s="406"/>
    </row>
    <row r="27" spans="1:3" x14ac:dyDescent="0.25">
      <c r="A27" s="392"/>
      <c r="C27" s="406"/>
    </row>
    <row r="28" spans="1:3" x14ac:dyDescent="0.25">
      <c r="A28" s="903" t="s">
        <v>234</v>
      </c>
      <c r="B28" s="904"/>
      <c r="C28" s="905"/>
    </row>
    <row r="29" spans="1:3" x14ac:dyDescent="0.25">
      <c r="A29" s="420" t="s">
        <v>2666</v>
      </c>
      <c r="B29" s="421" t="s">
        <v>237</v>
      </c>
      <c r="C29" s="422"/>
    </row>
    <row r="30" spans="1:3" x14ac:dyDescent="0.25">
      <c r="A30" s="420" t="s">
        <v>235</v>
      </c>
      <c r="B30" s="421" t="s">
        <v>238</v>
      </c>
      <c r="C30" s="422"/>
    </row>
    <row r="31" spans="1:3" x14ac:dyDescent="0.25">
      <c r="A31" s="420" t="s">
        <v>236</v>
      </c>
      <c r="B31" s="906" t="s">
        <v>239</v>
      </c>
      <c r="C31" s="907"/>
    </row>
    <row r="32" spans="1:3" x14ac:dyDescent="0.25">
      <c r="A32" s="423"/>
      <c r="B32" s="908" t="s">
        <v>240</v>
      </c>
      <c r="C32" s="909"/>
    </row>
    <row r="33" spans="1:3" x14ac:dyDescent="0.25">
      <c r="A33" s="424"/>
      <c r="C33" s="425"/>
    </row>
    <row r="34" spans="1:3" x14ac:dyDescent="0.25">
      <c r="A34" s="426" t="s">
        <v>241</v>
      </c>
      <c r="B34" s="427" t="s">
        <v>242</v>
      </c>
      <c r="C34" s="428"/>
    </row>
    <row r="35" spans="1:3" ht="15.75" thickBot="1" x14ac:dyDescent="0.3">
      <c r="A35" s="429" t="s">
        <v>2673</v>
      </c>
      <c r="B35" s="430" t="s">
        <v>243</v>
      </c>
      <c r="C35" s="431"/>
    </row>
    <row r="36" spans="1:3" x14ac:dyDescent="0.25">
      <c r="A36" s="432"/>
      <c r="B36" s="433"/>
      <c r="C36" s="434"/>
    </row>
  </sheetData>
  <mergeCells count="9">
    <mergeCell ref="A28:C28"/>
    <mergeCell ref="B31:C31"/>
    <mergeCell ref="B32:C32"/>
    <mergeCell ref="A1:C1"/>
    <mergeCell ref="A2:B2"/>
    <mergeCell ref="B6:B7"/>
    <mergeCell ref="A10:B10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8"/>
  <sheetViews>
    <sheetView view="pageBreakPreview" topLeftCell="A34" zoomScaleNormal="90" zoomScaleSheetLayoutView="100" workbookViewId="0">
      <selection activeCell="F335" sqref="F335"/>
    </sheetView>
  </sheetViews>
  <sheetFormatPr defaultRowHeight="15" x14ac:dyDescent="0.25"/>
  <cols>
    <col min="1" max="1" width="10.42578125" bestFit="1" customWidth="1"/>
    <col min="2" max="2" width="43" style="639" bestFit="1" customWidth="1"/>
    <col min="3" max="3" width="30.42578125" style="640" bestFit="1" customWidth="1"/>
    <col min="4" max="4" width="17.85546875" style="458" bestFit="1" customWidth="1"/>
    <col min="5" max="5" width="13.5703125" style="458" customWidth="1"/>
    <col min="6" max="6" width="13" style="458" bestFit="1" customWidth="1"/>
    <col min="7" max="7" width="8.28515625" style="458" bestFit="1" customWidth="1"/>
    <col min="8" max="8" width="5.42578125" style="458" bestFit="1" customWidth="1"/>
    <col min="9" max="9" width="10.7109375" style="458" bestFit="1" customWidth="1"/>
    <col min="10" max="10" width="14.85546875" style="458" bestFit="1" customWidth="1"/>
  </cols>
  <sheetData>
    <row r="1" spans="1:10" ht="15" customHeight="1" x14ac:dyDescent="0.25">
      <c r="A1" s="938" t="s">
        <v>3366</v>
      </c>
      <c r="B1" s="938"/>
      <c r="C1" s="938"/>
      <c r="D1" s="938"/>
      <c r="E1" s="938"/>
      <c r="F1" s="938"/>
      <c r="G1" s="938"/>
      <c r="H1" s="938"/>
      <c r="I1" s="938"/>
      <c r="J1" s="938"/>
    </row>
    <row r="2" spans="1:10" ht="51" customHeight="1" x14ac:dyDescent="0.25">
      <c r="A2" s="594" t="s">
        <v>4</v>
      </c>
      <c r="B2" s="595" t="s">
        <v>1</v>
      </c>
      <c r="C2" s="596" t="s">
        <v>3367</v>
      </c>
      <c r="D2" s="596" t="s">
        <v>1139</v>
      </c>
      <c r="E2" s="596" t="s">
        <v>1138</v>
      </c>
      <c r="F2" s="596" t="s">
        <v>1137</v>
      </c>
      <c r="G2" s="596" t="s">
        <v>3368</v>
      </c>
      <c r="H2" s="596" t="s">
        <v>3369</v>
      </c>
      <c r="I2" s="596" t="s">
        <v>3370</v>
      </c>
      <c r="J2" s="596" t="s">
        <v>3371</v>
      </c>
    </row>
    <row r="3" spans="1:10" x14ac:dyDescent="0.25">
      <c r="A3" s="922">
        <v>179</v>
      </c>
      <c r="B3" s="923" t="s">
        <v>1144</v>
      </c>
      <c r="C3" s="597" t="s">
        <v>3372</v>
      </c>
      <c r="D3" s="598" t="s">
        <v>1699</v>
      </c>
      <c r="E3" s="597">
        <v>36644374</v>
      </c>
      <c r="F3" s="597" t="s">
        <v>3373</v>
      </c>
      <c r="G3" s="599">
        <v>42795</v>
      </c>
      <c r="H3" s="600" t="s">
        <v>3374</v>
      </c>
      <c r="I3" s="601">
        <v>8.0399999999999991</v>
      </c>
      <c r="J3" s="924">
        <f>MEDIAN(I3:I5)</f>
        <v>4.88</v>
      </c>
    </row>
    <row r="4" spans="1:10" x14ac:dyDescent="0.25">
      <c r="A4" s="922"/>
      <c r="B4" s="923"/>
      <c r="C4" s="597" t="s">
        <v>3375</v>
      </c>
      <c r="D4" s="598" t="s">
        <v>3376</v>
      </c>
      <c r="E4" s="597">
        <v>36344700</v>
      </c>
      <c r="F4" s="597" t="s">
        <v>3377</v>
      </c>
      <c r="G4" s="599">
        <v>42795</v>
      </c>
      <c r="H4" s="600" t="s">
        <v>3374</v>
      </c>
      <c r="I4" s="601">
        <v>4.42</v>
      </c>
      <c r="J4" s="924"/>
    </row>
    <row r="5" spans="1:10" x14ac:dyDescent="0.25">
      <c r="A5" s="922"/>
      <c r="B5" s="923"/>
      <c r="C5" s="597" t="s">
        <v>3378</v>
      </c>
      <c r="D5" s="598" t="s">
        <v>3379</v>
      </c>
      <c r="E5" s="597">
        <v>36461605</v>
      </c>
      <c r="F5" s="597" t="s">
        <v>3380</v>
      </c>
      <c r="G5" s="599">
        <v>42795</v>
      </c>
      <c r="H5" s="600" t="s">
        <v>3374</v>
      </c>
      <c r="I5" s="601">
        <v>4.88</v>
      </c>
      <c r="J5" s="924"/>
    </row>
    <row r="6" spans="1:10" x14ac:dyDescent="0.25">
      <c r="A6" s="939"/>
      <c r="B6" s="939"/>
      <c r="C6" s="939"/>
      <c r="D6" s="939"/>
      <c r="E6" s="939"/>
      <c r="F6" s="939"/>
      <c r="G6" s="939"/>
      <c r="H6" s="939"/>
      <c r="I6" s="939"/>
      <c r="J6" s="939"/>
    </row>
    <row r="7" spans="1:10" x14ac:dyDescent="0.25">
      <c r="A7" s="922">
        <v>157</v>
      </c>
      <c r="B7" s="923" t="s">
        <v>1242</v>
      </c>
      <c r="C7" s="602" t="s">
        <v>3381</v>
      </c>
      <c r="D7" s="603"/>
      <c r="E7" s="602" t="s">
        <v>3382</v>
      </c>
      <c r="F7" s="602" t="s">
        <v>3383</v>
      </c>
      <c r="G7" s="604">
        <v>42826</v>
      </c>
      <c r="H7" s="600" t="s">
        <v>69</v>
      </c>
      <c r="I7" s="601">
        <v>2459</v>
      </c>
      <c r="J7" s="924">
        <f>MEDIAN(I7:I9)</f>
        <v>2459</v>
      </c>
    </row>
    <row r="8" spans="1:10" x14ac:dyDescent="0.25">
      <c r="A8" s="922"/>
      <c r="B8" s="923"/>
      <c r="C8" s="602" t="s">
        <v>1245</v>
      </c>
      <c r="D8" s="603" t="s">
        <v>1246</v>
      </c>
      <c r="E8" s="602" t="s">
        <v>1244</v>
      </c>
      <c r="F8" s="602" t="s">
        <v>1243</v>
      </c>
      <c r="G8" s="604">
        <v>42826</v>
      </c>
      <c r="H8" s="600" t="s">
        <v>69</v>
      </c>
      <c r="I8" s="601">
        <v>2650</v>
      </c>
      <c r="J8" s="924"/>
    </row>
    <row r="9" spans="1:10" x14ac:dyDescent="0.25">
      <c r="A9" s="922"/>
      <c r="B9" s="923"/>
      <c r="C9" s="602" t="s">
        <v>1248</v>
      </c>
      <c r="D9" s="603" t="s">
        <v>1249</v>
      </c>
      <c r="E9" s="602" t="s">
        <v>1247</v>
      </c>
      <c r="F9" s="602"/>
      <c r="G9" s="604">
        <v>42826</v>
      </c>
      <c r="H9" s="600" t="s">
        <v>69</v>
      </c>
      <c r="I9" s="601">
        <v>2268</v>
      </c>
      <c r="J9" s="924"/>
    </row>
    <row r="10" spans="1:10" x14ac:dyDescent="0.25">
      <c r="A10" s="937"/>
      <c r="B10" s="937"/>
      <c r="C10" s="937"/>
      <c r="D10" s="937"/>
      <c r="E10" s="937"/>
      <c r="F10" s="937"/>
      <c r="G10" s="937"/>
      <c r="H10" s="937"/>
      <c r="I10" s="937"/>
      <c r="J10" s="937"/>
    </row>
    <row r="11" spans="1:10" x14ac:dyDescent="0.25">
      <c r="A11" s="922">
        <v>195</v>
      </c>
      <c r="B11" s="923" t="s">
        <v>1163</v>
      </c>
      <c r="C11" s="597" t="s">
        <v>3384</v>
      </c>
      <c r="D11" s="605"/>
      <c r="E11" s="597" t="s">
        <v>3385</v>
      </c>
      <c r="F11" s="597" t="s">
        <v>3386</v>
      </c>
      <c r="G11" s="599">
        <v>42754</v>
      </c>
      <c r="H11" s="600" t="s">
        <v>69</v>
      </c>
      <c r="I11" s="606">
        <v>1100</v>
      </c>
      <c r="J11" s="924">
        <f>MEDIAN(I11:I13)</f>
        <v>1100</v>
      </c>
    </row>
    <row r="12" spans="1:10" x14ac:dyDescent="0.25">
      <c r="A12" s="922"/>
      <c r="B12" s="923"/>
      <c r="C12" s="597" t="s">
        <v>3387</v>
      </c>
      <c r="D12" s="605"/>
      <c r="E12" s="597" t="s">
        <v>3388</v>
      </c>
      <c r="F12" s="597" t="s">
        <v>1503</v>
      </c>
      <c r="G12" s="599">
        <v>42736</v>
      </c>
      <c r="H12" s="600" t="s">
        <v>69</v>
      </c>
      <c r="I12" s="606">
        <v>1050</v>
      </c>
      <c r="J12" s="924"/>
    </row>
    <row r="13" spans="1:10" x14ac:dyDescent="0.25">
      <c r="A13" s="922"/>
      <c r="B13" s="923"/>
      <c r="C13" s="597" t="s">
        <v>1166</v>
      </c>
      <c r="D13" s="605" t="s">
        <v>1167</v>
      </c>
      <c r="E13" s="597">
        <v>36532049</v>
      </c>
      <c r="F13" s="597" t="s">
        <v>1165</v>
      </c>
      <c r="G13" s="599">
        <v>42736</v>
      </c>
      <c r="H13" s="600" t="s">
        <v>69</v>
      </c>
      <c r="I13" s="606">
        <v>1100</v>
      </c>
      <c r="J13" s="924"/>
    </row>
    <row r="14" spans="1:10" x14ac:dyDescent="0.25">
      <c r="A14" s="937"/>
      <c r="B14" s="937"/>
      <c r="C14" s="937"/>
      <c r="D14" s="937"/>
      <c r="E14" s="937"/>
      <c r="F14" s="937"/>
      <c r="G14" s="937"/>
      <c r="H14" s="937"/>
      <c r="I14" s="937"/>
      <c r="J14" s="937"/>
    </row>
    <row r="15" spans="1:10" x14ac:dyDescent="0.25">
      <c r="A15" s="922">
        <v>193</v>
      </c>
      <c r="B15" s="923" t="s">
        <v>1988</v>
      </c>
      <c r="C15" s="597" t="s">
        <v>3384</v>
      </c>
      <c r="D15" s="605"/>
      <c r="E15" s="597" t="s">
        <v>3385</v>
      </c>
      <c r="F15" s="597" t="s">
        <v>3386</v>
      </c>
      <c r="G15" s="599">
        <v>42754</v>
      </c>
      <c r="H15" s="600" t="s">
        <v>69</v>
      </c>
      <c r="I15" s="606">
        <v>990</v>
      </c>
      <c r="J15" s="924">
        <f>MEDIAN(I15:I17)</f>
        <v>990</v>
      </c>
    </row>
    <row r="16" spans="1:10" x14ac:dyDescent="0.25">
      <c r="A16" s="922"/>
      <c r="B16" s="923"/>
      <c r="C16" s="597" t="s">
        <v>3387</v>
      </c>
      <c r="D16" s="605"/>
      <c r="E16" s="597" t="s">
        <v>3388</v>
      </c>
      <c r="F16" s="597" t="s">
        <v>1503</v>
      </c>
      <c r="G16" s="599">
        <v>42736</v>
      </c>
      <c r="H16" s="600" t="s">
        <v>69</v>
      </c>
      <c r="I16" s="606">
        <v>990</v>
      </c>
      <c r="J16" s="924"/>
    </row>
    <row r="17" spans="1:10" x14ac:dyDescent="0.25">
      <c r="A17" s="922"/>
      <c r="B17" s="923"/>
      <c r="C17" s="597" t="s">
        <v>1166</v>
      </c>
      <c r="D17" s="605" t="s">
        <v>1167</v>
      </c>
      <c r="E17" s="597">
        <v>36532049</v>
      </c>
      <c r="F17" s="597" t="s">
        <v>1165</v>
      </c>
      <c r="G17" s="599">
        <v>42736</v>
      </c>
      <c r="H17" s="600" t="s">
        <v>69</v>
      </c>
      <c r="I17" s="601">
        <v>1400</v>
      </c>
      <c r="J17" s="924"/>
    </row>
    <row r="18" spans="1:10" x14ac:dyDescent="0.25">
      <c r="A18" s="937"/>
      <c r="B18" s="937"/>
      <c r="C18" s="937"/>
      <c r="D18" s="937"/>
      <c r="E18" s="937"/>
      <c r="F18" s="937"/>
      <c r="G18" s="937"/>
      <c r="H18" s="937"/>
      <c r="I18" s="937"/>
      <c r="J18" s="937"/>
    </row>
    <row r="19" spans="1:10" x14ac:dyDescent="0.25">
      <c r="A19" s="922">
        <v>194</v>
      </c>
      <c r="B19" s="923" t="s">
        <v>1173</v>
      </c>
      <c r="C19" s="597" t="s">
        <v>3384</v>
      </c>
      <c r="D19" s="605"/>
      <c r="E19" s="597" t="s">
        <v>3385</v>
      </c>
      <c r="F19" s="597" t="s">
        <v>3386</v>
      </c>
      <c r="G19" s="599">
        <v>42754</v>
      </c>
      <c r="H19" s="600" t="s">
        <v>69</v>
      </c>
      <c r="I19" s="606">
        <v>1250</v>
      </c>
      <c r="J19" s="924">
        <f>MEDIAN(I19:I21)</f>
        <v>1350</v>
      </c>
    </row>
    <row r="20" spans="1:10" x14ac:dyDescent="0.25">
      <c r="A20" s="922"/>
      <c r="B20" s="923"/>
      <c r="C20" s="597" t="s">
        <v>3387</v>
      </c>
      <c r="D20" s="605"/>
      <c r="E20" s="597" t="s">
        <v>3388</v>
      </c>
      <c r="F20" s="597" t="s">
        <v>1503</v>
      </c>
      <c r="G20" s="599">
        <v>42736</v>
      </c>
      <c r="H20" s="600" t="s">
        <v>69</v>
      </c>
      <c r="I20" s="606">
        <v>1350</v>
      </c>
      <c r="J20" s="924"/>
    </row>
    <row r="21" spans="1:10" x14ac:dyDescent="0.25">
      <c r="A21" s="922"/>
      <c r="B21" s="923"/>
      <c r="C21" s="597" t="s">
        <v>1166</v>
      </c>
      <c r="D21" s="605" t="s">
        <v>1167</v>
      </c>
      <c r="E21" s="597">
        <v>36532049</v>
      </c>
      <c r="F21" s="597" t="s">
        <v>1165</v>
      </c>
      <c r="G21" s="599">
        <v>42736</v>
      </c>
      <c r="H21" s="600" t="s">
        <v>69</v>
      </c>
      <c r="I21" s="606">
        <v>1400</v>
      </c>
      <c r="J21" s="924"/>
    </row>
    <row r="22" spans="1:10" x14ac:dyDescent="0.25">
      <c r="A22" s="937"/>
      <c r="B22" s="937"/>
      <c r="C22" s="937"/>
      <c r="D22" s="937"/>
      <c r="E22" s="937"/>
      <c r="F22" s="937"/>
      <c r="G22" s="937"/>
      <c r="H22" s="937"/>
      <c r="I22" s="937"/>
      <c r="J22" s="937"/>
    </row>
    <row r="23" spans="1:10" ht="15" customHeight="1" x14ac:dyDescent="0.25">
      <c r="A23" s="922">
        <v>126</v>
      </c>
      <c r="B23" s="923" t="s">
        <v>1580</v>
      </c>
      <c r="C23" s="602" t="s">
        <v>1583</v>
      </c>
      <c r="D23" s="603" t="s">
        <v>1584</v>
      </c>
      <c r="E23" s="602" t="s">
        <v>1582</v>
      </c>
      <c r="F23" s="602" t="s">
        <v>1581</v>
      </c>
      <c r="G23" s="604">
        <v>42767</v>
      </c>
      <c r="H23" s="607" t="s">
        <v>72</v>
      </c>
      <c r="I23" s="601">
        <v>420</v>
      </c>
      <c r="J23" s="924">
        <f>MEDIAN(I23:I25)</f>
        <v>455</v>
      </c>
    </row>
    <row r="24" spans="1:10" x14ac:dyDescent="0.25">
      <c r="A24" s="922"/>
      <c r="B24" s="923"/>
      <c r="C24" s="602" t="s">
        <v>1586</v>
      </c>
      <c r="D24" s="603" t="s">
        <v>1587</v>
      </c>
      <c r="E24" s="602" t="s">
        <v>1585</v>
      </c>
      <c r="F24" s="602" t="s">
        <v>1278</v>
      </c>
      <c r="G24" s="604">
        <v>42767</v>
      </c>
      <c r="H24" s="607" t="s">
        <v>72</v>
      </c>
      <c r="I24" s="601">
        <v>455</v>
      </c>
      <c r="J24" s="924"/>
    </row>
    <row r="25" spans="1:10" x14ac:dyDescent="0.25">
      <c r="A25" s="922"/>
      <c r="B25" s="923"/>
      <c r="C25" s="602" t="s">
        <v>1589</v>
      </c>
      <c r="D25" s="603" t="s">
        <v>1590</v>
      </c>
      <c r="E25" s="602" t="s">
        <v>1588</v>
      </c>
      <c r="F25" s="602"/>
      <c r="G25" s="604">
        <v>42767</v>
      </c>
      <c r="H25" s="607" t="s">
        <v>72</v>
      </c>
      <c r="I25" s="601">
        <v>480</v>
      </c>
      <c r="J25" s="924"/>
    </row>
    <row r="26" spans="1:10" x14ac:dyDescent="0.25">
      <c r="A26" s="937"/>
      <c r="B26" s="937"/>
      <c r="C26" s="937"/>
      <c r="D26" s="937"/>
      <c r="E26" s="937"/>
      <c r="F26" s="937"/>
      <c r="G26" s="937"/>
      <c r="H26" s="937"/>
      <c r="I26" s="937"/>
      <c r="J26" s="937"/>
    </row>
    <row r="27" spans="1:10" ht="22.5" customHeight="1" x14ac:dyDescent="0.25">
      <c r="A27" s="922">
        <v>281</v>
      </c>
      <c r="B27" s="923" t="s">
        <v>3143</v>
      </c>
      <c r="C27" s="602" t="s">
        <v>3389</v>
      </c>
      <c r="D27" s="603"/>
      <c r="E27" s="602" t="s">
        <v>3390</v>
      </c>
      <c r="F27" s="602" t="s">
        <v>3391</v>
      </c>
      <c r="G27" s="608"/>
      <c r="H27" s="607" t="s">
        <v>159</v>
      </c>
      <c r="I27" s="609">
        <v>280</v>
      </c>
      <c r="J27" s="924">
        <f>MEDIAN(I27:I29)</f>
        <v>280</v>
      </c>
    </row>
    <row r="28" spans="1:10" x14ac:dyDescent="0.25">
      <c r="A28" s="922"/>
      <c r="B28" s="923"/>
      <c r="C28" s="602" t="s">
        <v>2587</v>
      </c>
      <c r="D28" s="603" t="s">
        <v>1167</v>
      </c>
      <c r="E28" s="602" t="s">
        <v>3392</v>
      </c>
      <c r="F28" s="602"/>
      <c r="G28" s="608"/>
      <c r="H28" s="607" t="s">
        <v>159</v>
      </c>
      <c r="I28" s="609">
        <v>280</v>
      </c>
      <c r="J28" s="924"/>
    </row>
    <row r="29" spans="1:10" x14ac:dyDescent="0.25">
      <c r="A29" s="922"/>
      <c r="B29" s="923"/>
      <c r="C29" s="602" t="s">
        <v>2548</v>
      </c>
      <c r="D29" s="603" t="s">
        <v>1249</v>
      </c>
      <c r="E29" s="602" t="s">
        <v>1247</v>
      </c>
      <c r="F29" s="602"/>
      <c r="G29" s="608"/>
      <c r="H29" s="607" t="s">
        <v>159</v>
      </c>
      <c r="I29" s="609">
        <v>390</v>
      </c>
      <c r="J29" s="924"/>
    </row>
    <row r="30" spans="1:10" x14ac:dyDescent="0.25">
      <c r="A30" s="930"/>
      <c r="B30" s="930"/>
      <c r="C30" s="930"/>
      <c r="D30" s="930"/>
      <c r="E30" s="930"/>
      <c r="F30" s="930"/>
      <c r="G30" s="930"/>
      <c r="H30" s="930"/>
      <c r="I30" s="930"/>
      <c r="J30" s="930"/>
    </row>
    <row r="31" spans="1:10" ht="15" customHeight="1" x14ac:dyDescent="0.25">
      <c r="A31" s="922">
        <v>219</v>
      </c>
      <c r="B31" s="923" t="s">
        <v>1326</v>
      </c>
      <c r="C31" s="602" t="s">
        <v>1328</v>
      </c>
      <c r="D31" s="603" t="s">
        <v>1329</v>
      </c>
      <c r="E31" s="602">
        <v>33141000</v>
      </c>
      <c r="F31" s="602" t="s">
        <v>1327</v>
      </c>
      <c r="G31" s="608">
        <v>42802</v>
      </c>
      <c r="H31" s="607" t="s">
        <v>69</v>
      </c>
      <c r="I31" s="601">
        <v>454.61</v>
      </c>
      <c r="J31" s="924">
        <f>MEDIAN(I31:I33)</f>
        <v>496.02</v>
      </c>
    </row>
    <row r="32" spans="1:10" x14ac:dyDescent="0.25">
      <c r="A32" s="922"/>
      <c r="B32" s="923"/>
      <c r="C32" s="602" t="s">
        <v>1331</v>
      </c>
      <c r="D32" s="603" t="s">
        <v>1140</v>
      </c>
      <c r="E32" s="602">
        <v>36175000</v>
      </c>
      <c r="F32" s="602" t="s">
        <v>2688</v>
      </c>
      <c r="G32" s="608">
        <v>42802</v>
      </c>
      <c r="H32" s="607" t="s">
        <v>69</v>
      </c>
      <c r="I32" s="601">
        <v>496.02</v>
      </c>
      <c r="J32" s="924"/>
    </row>
    <row r="33" spans="1:10" x14ac:dyDescent="0.25">
      <c r="A33" s="922"/>
      <c r="B33" s="923"/>
      <c r="C33" s="602" t="s">
        <v>2690</v>
      </c>
      <c r="D33" s="603" t="s">
        <v>1325</v>
      </c>
      <c r="E33" s="602" t="s">
        <v>2689</v>
      </c>
      <c r="F33" s="602" t="s">
        <v>1324</v>
      </c>
      <c r="G33" s="608">
        <v>42802</v>
      </c>
      <c r="H33" s="607" t="s">
        <v>69</v>
      </c>
      <c r="I33" s="601">
        <v>498.85</v>
      </c>
      <c r="J33" s="924"/>
    </row>
    <row r="34" spans="1:10" x14ac:dyDescent="0.25">
      <c r="A34" s="610"/>
      <c r="B34" s="610"/>
      <c r="C34" s="611"/>
      <c r="D34" s="611"/>
      <c r="E34" s="611"/>
      <c r="F34" s="611"/>
      <c r="G34" s="611"/>
      <c r="H34" s="611"/>
      <c r="I34" s="611"/>
      <c r="J34" s="611"/>
    </row>
    <row r="35" spans="1:10" ht="24" customHeight="1" x14ac:dyDescent="0.25">
      <c r="A35" s="922">
        <v>68</v>
      </c>
      <c r="B35" s="923" t="s">
        <v>2136</v>
      </c>
      <c r="C35" s="602" t="s">
        <v>1254</v>
      </c>
      <c r="D35" s="603" t="s">
        <v>1255</v>
      </c>
      <c r="E35" s="602" t="s">
        <v>1253</v>
      </c>
      <c r="F35" s="597"/>
      <c r="G35" s="608">
        <v>42767</v>
      </c>
      <c r="H35" s="607" t="s">
        <v>69</v>
      </c>
      <c r="I35" s="601">
        <v>3160</v>
      </c>
      <c r="J35" s="924">
        <f>MEDIAN(I35:I37)</f>
        <v>3160</v>
      </c>
    </row>
    <row r="36" spans="1:10" x14ac:dyDescent="0.25">
      <c r="A36" s="922"/>
      <c r="B36" s="923"/>
      <c r="C36" s="602" t="s">
        <v>1257</v>
      </c>
      <c r="D36" s="603" t="s">
        <v>1258</v>
      </c>
      <c r="E36" s="602" t="s">
        <v>1256</v>
      </c>
      <c r="F36" s="597"/>
      <c r="G36" s="608">
        <v>42767</v>
      </c>
      <c r="H36" s="607" t="s">
        <v>69</v>
      </c>
      <c r="I36" s="601">
        <v>5704</v>
      </c>
      <c r="J36" s="924"/>
    </row>
    <row r="37" spans="1:10" x14ac:dyDescent="0.25">
      <c r="A37" s="922"/>
      <c r="B37" s="923"/>
      <c r="C37" s="602" t="s">
        <v>3393</v>
      </c>
      <c r="D37" s="603" t="s">
        <v>2137</v>
      </c>
      <c r="E37" s="602" t="s">
        <v>2546</v>
      </c>
      <c r="F37" s="597"/>
      <c r="G37" s="608">
        <v>42767</v>
      </c>
      <c r="H37" s="607" t="s">
        <v>69</v>
      </c>
      <c r="I37" s="601">
        <v>2835</v>
      </c>
      <c r="J37" s="924"/>
    </row>
    <row r="38" spans="1:10" x14ac:dyDescent="0.25">
      <c r="A38" s="610"/>
      <c r="B38" s="610"/>
      <c r="C38" s="611"/>
      <c r="D38" s="611"/>
      <c r="E38" s="611"/>
      <c r="F38" s="611"/>
      <c r="G38" s="611"/>
      <c r="H38" s="611"/>
      <c r="I38" s="611"/>
      <c r="J38" s="611"/>
    </row>
    <row r="39" spans="1:10" ht="24" customHeight="1" x14ac:dyDescent="0.25">
      <c r="A39" s="922">
        <v>235</v>
      </c>
      <c r="B39" s="923" t="s">
        <v>3394</v>
      </c>
      <c r="C39" s="612" t="s">
        <v>2126</v>
      </c>
      <c r="D39" s="613" t="s">
        <v>2127</v>
      </c>
      <c r="E39" s="614" t="s">
        <v>2125</v>
      </c>
      <c r="F39" s="614" t="s">
        <v>2124</v>
      </c>
      <c r="G39" s="608">
        <v>42767</v>
      </c>
      <c r="H39" s="615" t="s">
        <v>69</v>
      </c>
      <c r="I39" s="609">
        <v>16900</v>
      </c>
      <c r="J39" s="924">
        <f>MEDIAN(I39:I41)</f>
        <v>16900</v>
      </c>
    </row>
    <row r="40" spans="1:10" x14ac:dyDescent="0.25">
      <c r="A40" s="922"/>
      <c r="B40" s="923"/>
      <c r="C40" s="612" t="s">
        <v>2130</v>
      </c>
      <c r="D40" s="613"/>
      <c r="E40" s="614" t="s">
        <v>2129</v>
      </c>
      <c r="F40" s="614" t="s">
        <v>2128</v>
      </c>
      <c r="G40" s="608">
        <v>42767</v>
      </c>
      <c r="H40" s="615" t="s">
        <v>69</v>
      </c>
      <c r="I40" s="609">
        <v>9450</v>
      </c>
      <c r="J40" s="924"/>
    </row>
    <row r="41" spans="1:10" x14ac:dyDescent="0.25">
      <c r="A41" s="922"/>
      <c r="B41" s="923"/>
      <c r="C41" s="612" t="s">
        <v>2133</v>
      </c>
      <c r="D41" s="613" t="s">
        <v>2134</v>
      </c>
      <c r="E41" s="614" t="s">
        <v>2132</v>
      </c>
      <c r="F41" s="614" t="s">
        <v>2131</v>
      </c>
      <c r="G41" s="608">
        <v>42767</v>
      </c>
      <c r="H41" s="615" t="s">
        <v>69</v>
      </c>
      <c r="I41" s="609">
        <v>17250</v>
      </c>
      <c r="J41" s="924"/>
    </row>
    <row r="42" spans="1:10" x14ac:dyDescent="0.25">
      <c r="A42" s="610"/>
      <c r="B42" s="610"/>
      <c r="C42" s="611"/>
      <c r="D42" s="611"/>
      <c r="E42" s="611"/>
      <c r="F42" s="611"/>
      <c r="G42" s="611"/>
      <c r="H42" s="611"/>
      <c r="I42" s="611"/>
      <c r="J42" s="611"/>
    </row>
    <row r="43" spans="1:10" ht="22.5" customHeight="1" x14ac:dyDescent="0.25">
      <c r="A43" s="922">
        <v>229</v>
      </c>
      <c r="B43" s="923" t="s">
        <v>2143</v>
      </c>
      <c r="C43" s="602" t="s">
        <v>1322</v>
      </c>
      <c r="D43" s="603" t="s">
        <v>1323</v>
      </c>
      <c r="E43" s="602">
        <v>30283000</v>
      </c>
      <c r="F43" s="602" t="s">
        <v>3395</v>
      </c>
      <c r="G43" s="608">
        <v>42795</v>
      </c>
      <c r="H43" s="607" t="s">
        <v>69</v>
      </c>
      <c r="I43" s="601">
        <v>69.900000000000006</v>
      </c>
      <c r="J43" s="924">
        <f>MEDIAN(I43:I45)</f>
        <v>83.1</v>
      </c>
    </row>
    <row r="44" spans="1:10" ht="24" x14ac:dyDescent="0.25">
      <c r="A44" s="922"/>
      <c r="B44" s="923"/>
      <c r="C44" s="612" t="s">
        <v>1328</v>
      </c>
      <c r="D44" s="613" t="s">
        <v>1329</v>
      </c>
      <c r="E44" s="614">
        <v>33141000</v>
      </c>
      <c r="F44" s="614" t="s">
        <v>1327</v>
      </c>
      <c r="G44" s="608">
        <v>42795</v>
      </c>
      <c r="H44" s="615" t="s">
        <v>69</v>
      </c>
      <c r="I44" s="609">
        <v>93.94</v>
      </c>
      <c r="J44" s="924"/>
    </row>
    <row r="45" spans="1:10" ht="24" x14ac:dyDescent="0.25">
      <c r="A45" s="922"/>
      <c r="B45" s="923"/>
      <c r="C45" s="612" t="s">
        <v>1331</v>
      </c>
      <c r="D45" s="613" t="s">
        <v>1140</v>
      </c>
      <c r="E45" s="614">
        <v>36175000</v>
      </c>
      <c r="F45" s="614" t="s">
        <v>1330</v>
      </c>
      <c r="G45" s="608">
        <v>42795</v>
      </c>
      <c r="H45" s="615" t="s">
        <v>69</v>
      </c>
      <c r="I45" s="609">
        <v>83.1</v>
      </c>
      <c r="J45" s="924"/>
    </row>
    <row r="46" spans="1:10" x14ac:dyDescent="0.25">
      <c r="A46" s="610"/>
      <c r="B46" s="610"/>
      <c r="C46" s="611"/>
      <c r="D46" s="611"/>
      <c r="E46" s="611"/>
      <c r="F46" s="611"/>
      <c r="G46" s="611"/>
      <c r="H46" s="611"/>
      <c r="I46" s="611"/>
      <c r="J46" s="611"/>
    </row>
    <row r="47" spans="1:10" ht="15" customHeight="1" x14ac:dyDescent="0.25">
      <c r="A47" s="922">
        <v>55</v>
      </c>
      <c r="B47" s="923" t="s">
        <v>2144</v>
      </c>
      <c r="C47" s="602" t="s">
        <v>3396</v>
      </c>
      <c r="D47" s="603" t="s">
        <v>1325</v>
      </c>
      <c r="E47" s="602">
        <v>33175000</v>
      </c>
      <c r="F47" s="602" t="s">
        <v>1324</v>
      </c>
      <c r="G47" s="608">
        <v>42795</v>
      </c>
      <c r="H47" s="607" t="s">
        <v>69</v>
      </c>
      <c r="I47" s="601">
        <v>395.17</v>
      </c>
      <c r="J47" s="924">
        <f>MEDIAN(I47:I49)</f>
        <v>468.99</v>
      </c>
    </row>
    <row r="48" spans="1:10" ht="24" x14ac:dyDescent="0.25">
      <c r="A48" s="922"/>
      <c r="B48" s="923"/>
      <c r="C48" s="612" t="s">
        <v>1328</v>
      </c>
      <c r="D48" s="613" t="s">
        <v>1329</v>
      </c>
      <c r="E48" s="614">
        <v>33141000</v>
      </c>
      <c r="F48" s="614" t="s">
        <v>1327</v>
      </c>
      <c r="G48" s="608">
        <v>42795</v>
      </c>
      <c r="H48" s="615" t="s">
        <v>69</v>
      </c>
      <c r="I48" s="609">
        <v>488.74</v>
      </c>
      <c r="J48" s="924"/>
    </row>
    <row r="49" spans="1:10" ht="24" x14ac:dyDescent="0.25">
      <c r="A49" s="922"/>
      <c r="B49" s="923"/>
      <c r="C49" s="612" t="s">
        <v>1331</v>
      </c>
      <c r="D49" s="613" t="s">
        <v>1140</v>
      </c>
      <c r="E49" s="614">
        <v>36175000</v>
      </c>
      <c r="F49" s="614" t="s">
        <v>1330</v>
      </c>
      <c r="G49" s="608">
        <v>42795</v>
      </c>
      <c r="H49" s="615" t="s">
        <v>69</v>
      </c>
      <c r="I49" s="609">
        <v>468.99</v>
      </c>
      <c r="J49" s="924"/>
    </row>
    <row r="50" spans="1:10" x14ac:dyDescent="0.25">
      <c r="A50" s="610"/>
      <c r="B50" s="610"/>
      <c r="C50" s="611"/>
      <c r="D50" s="611"/>
      <c r="E50" s="611"/>
      <c r="F50" s="611"/>
      <c r="G50" s="611"/>
      <c r="H50" s="611"/>
      <c r="I50" s="611"/>
      <c r="J50" s="611"/>
    </row>
    <row r="51" spans="1:10" ht="22.5" customHeight="1" x14ac:dyDescent="0.25">
      <c r="A51" s="922">
        <v>238</v>
      </c>
      <c r="B51" s="923" t="s">
        <v>3397</v>
      </c>
      <c r="C51" s="602" t="s">
        <v>3398</v>
      </c>
      <c r="D51" s="603"/>
      <c r="E51" s="602">
        <v>36230050</v>
      </c>
      <c r="F51" s="602" t="s">
        <v>3399</v>
      </c>
      <c r="G51" s="608">
        <v>42767</v>
      </c>
      <c r="H51" s="607" t="s">
        <v>69</v>
      </c>
      <c r="I51" s="601">
        <v>3500</v>
      </c>
      <c r="J51" s="924">
        <f>MEDIAN(I51:I53)</f>
        <v>2250</v>
      </c>
    </row>
    <row r="52" spans="1:10" x14ac:dyDescent="0.25">
      <c r="A52" s="922"/>
      <c r="B52" s="923"/>
      <c r="C52" s="602" t="s">
        <v>3400</v>
      </c>
      <c r="D52" s="603" t="s">
        <v>2137</v>
      </c>
      <c r="E52" s="602">
        <v>36824971</v>
      </c>
      <c r="F52" s="602" t="s">
        <v>2545</v>
      </c>
      <c r="G52" s="608">
        <v>42767</v>
      </c>
      <c r="H52" s="607" t="s">
        <v>69</v>
      </c>
      <c r="I52" s="601">
        <v>1540</v>
      </c>
      <c r="J52" s="924"/>
    </row>
    <row r="53" spans="1:10" x14ac:dyDescent="0.25">
      <c r="A53" s="922"/>
      <c r="B53" s="923"/>
      <c r="C53" s="602" t="s">
        <v>3401</v>
      </c>
      <c r="D53" s="603" t="s">
        <v>3402</v>
      </c>
      <c r="E53" s="602">
        <v>99724412</v>
      </c>
      <c r="F53" s="602" t="s">
        <v>3403</v>
      </c>
      <c r="G53" s="608">
        <v>42767</v>
      </c>
      <c r="H53" s="607" t="s">
        <v>69</v>
      </c>
      <c r="I53" s="601">
        <v>2250</v>
      </c>
      <c r="J53" s="924"/>
    </row>
    <row r="54" spans="1:10" x14ac:dyDescent="0.25">
      <c r="A54" s="610"/>
      <c r="B54" s="610"/>
      <c r="C54" s="611"/>
      <c r="D54" s="611"/>
      <c r="E54" s="611"/>
      <c r="F54" s="611"/>
      <c r="G54" s="611"/>
      <c r="H54" s="611"/>
      <c r="I54" s="611"/>
      <c r="J54" s="611"/>
    </row>
    <row r="55" spans="1:10" x14ac:dyDescent="0.25">
      <c r="A55" s="922">
        <v>242</v>
      </c>
      <c r="B55" s="923" t="s">
        <v>2568</v>
      </c>
      <c r="C55" s="602" t="s">
        <v>2570</v>
      </c>
      <c r="D55" s="603" t="s">
        <v>2571</v>
      </c>
      <c r="E55" s="602">
        <v>34392016</v>
      </c>
      <c r="F55" s="602" t="s">
        <v>2569</v>
      </c>
      <c r="G55" s="608">
        <v>42736</v>
      </c>
      <c r="H55" s="607" t="s">
        <v>69</v>
      </c>
      <c r="I55" s="616">
        <v>2195</v>
      </c>
      <c r="J55" s="924">
        <f>MEDIAN(I55:I57)</f>
        <v>2430.8200000000002</v>
      </c>
    </row>
    <row r="56" spans="1:10" x14ac:dyDescent="0.25">
      <c r="A56" s="922"/>
      <c r="B56" s="923"/>
      <c r="C56" s="602" t="s">
        <v>2573</v>
      </c>
      <c r="D56" s="603" t="s">
        <v>2574</v>
      </c>
      <c r="E56" s="602">
        <v>36824971</v>
      </c>
      <c r="F56" s="602" t="s">
        <v>2572</v>
      </c>
      <c r="G56" s="608">
        <v>42767</v>
      </c>
      <c r="H56" s="607" t="s">
        <v>69</v>
      </c>
      <c r="I56" s="616">
        <v>2493.7600000000002</v>
      </c>
      <c r="J56" s="924"/>
    </row>
    <row r="57" spans="1:10" x14ac:dyDescent="0.25">
      <c r="A57" s="922"/>
      <c r="B57" s="923"/>
      <c r="C57" s="602" t="s">
        <v>1528</v>
      </c>
      <c r="D57" s="603" t="s">
        <v>2576</v>
      </c>
      <c r="E57" s="602">
        <v>36342266</v>
      </c>
      <c r="F57" s="602" t="s">
        <v>2575</v>
      </c>
      <c r="G57" s="608">
        <v>42767</v>
      </c>
      <c r="H57" s="607" t="s">
        <v>69</v>
      </c>
      <c r="I57" s="616">
        <v>2430.8200000000002</v>
      </c>
      <c r="J57" s="924"/>
    </row>
    <row r="58" spans="1:10" x14ac:dyDescent="0.25">
      <c r="A58" s="610"/>
      <c r="B58" s="610"/>
      <c r="C58" s="611"/>
      <c r="D58" s="611"/>
      <c r="E58" s="611"/>
      <c r="F58" s="611"/>
      <c r="G58" s="611"/>
      <c r="H58" s="611"/>
      <c r="I58" s="611"/>
      <c r="J58" s="611"/>
    </row>
    <row r="59" spans="1:10" x14ac:dyDescent="0.25">
      <c r="A59" s="922">
        <v>70</v>
      </c>
      <c r="B59" s="923" t="s">
        <v>1317</v>
      </c>
      <c r="C59" s="602" t="s">
        <v>1254</v>
      </c>
      <c r="D59" s="603" t="s">
        <v>1255</v>
      </c>
      <c r="E59" s="602" t="s">
        <v>1253</v>
      </c>
      <c r="F59" s="602" t="s">
        <v>1252</v>
      </c>
      <c r="G59" s="608">
        <v>42767</v>
      </c>
      <c r="H59" s="607" t="s">
        <v>69</v>
      </c>
      <c r="I59" s="601">
        <v>4100</v>
      </c>
      <c r="J59" s="924">
        <f>MEDIAN(I59:I61)</f>
        <v>4100</v>
      </c>
    </row>
    <row r="60" spans="1:10" x14ac:dyDescent="0.25">
      <c r="A60" s="922"/>
      <c r="B60" s="923"/>
      <c r="C60" s="602" t="s">
        <v>1257</v>
      </c>
      <c r="D60" s="603" t="s">
        <v>1258</v>
      </c>
      <c r="E60" s="602" t="s">
        <v>1256</v>
      </c>
      <c r="F60" s="602"/>
      <c r="G60" s="608">
        <v>42767</v>
      </c>
      <c r="H60" s="607" t="s">
        <v>69</v>
      </c>
      <c r="I60" s="601">
        <v>5370</v>
      </c>
      <c r="J60" s="924"/>
    </row>
    <row r="61" spans="1:10" x14ac:dyDescent="0.25">
      <c r="A61" s="922"/>
      <c r="B61" s="923"/>
      <c r="C61" s="602" t="s">
        <v>3404</v>
      </c>
      <c r="D61" s="603" t="s">
        <v>2547</v>
      </c>
      <c r="E61" s="602" t="s">
        <v>1247</v>
      </c>
      <c r="F61" s="602"/>
      <c r="G61" s="608">
        <v>42767</v>
      </c>
      <c r="H61" s="607" t="s">
        <v>69</v>
      </c>
      <c r="I61" s="601">
        <v>3386</v>
      </c>
      <c r="J61" s="924"/>
    </row>
    <row r="62" spans="1:10" x14ac:dyDescent="0.25">
      <c r="A62" s="610"/>
      <c r="B62" s="610"/>
      <c r="C62" s="611"/>
      <c r="D62" s="611"/>
      <c r="E62" s="611"/>
      <c r="F62" s="611"/>
      <c r="G62" s="611"/>
      <c r="H62" s="611"/>
      <c r="I62" s="611"/>
      <c r="J62" s="611"/>
    </row>
    <row r="63" spans="1:10" x14ac:dyDescent="0.25">
      <c r="A63" s="922">
        <v>230</v>
      </c>
      <c r="B63" s="923" t="s">
        <v>3405</v>
      </c>
      <c r="C63" s="602" t="s">
        <v>1264</v>
      </c>
      <c r="D63" s="603" t="s">
        <v>1265</v>
      </c>
      <c r="E63" s="602" t="s">
        <v>1263</v>
      </c>
      <c r="F63" s="602" t="s">
        <v>1262</v>
      </c>
      <c r="G63" s="608">
        <v>42829</v>
      </c>
      <c r="H63" s="607" t="s">
        <v>69</v>
      </c>
      <c r="I63" s="601">
        <v>158.36000000000001</v>
      </c>
      <c r="J63" s="924">
        <f>MEDIAN(I63:I65)</f>
        <v>158.36000000000001</v>
      </c>
    </row>
    <row r="64" spans="1:10" x14ac:dyDescent="0.25">
      <c r="A64" s="922"/>
      <c r="B64" s="923"/>
      <c r="C64" s="602" t="s">
        <v>1268</v>
      </c>
      <c r="D64" s="603" t="s">
        <v>1269</v>
      </c>
      <c r="E64" s="602" t="s">
        <v>1267</v>
      </c>
      <c r="F64" s="602" t="s">
        <v>1266</v>
      </c>
      <c r="G64" s="608">
        <v>42829</v>
      </c>
      <c r="H64" s="607" t="s">
        <v>69</v>
      </c>
      <c r="I64" s="601">
        <v>165.76</v>
      </c>
      <c r="J64" s="924"/>
    </row>
    <row r="65" spans="1:11" x14ac:dyDescent="0.25">
      <c r="A65" s="922"/>
      <c r="B65" s="923"/>
      <c r="C65" s="602" t="s">
        <v>3406</v>
      </c>
      <c r="D65" s="603" t="s">
        <v>3407</v>
      </c>
      <c r="E65" s="602">
        <v>36143509</v>
      </c>
      <c r="F65" s="602" t="s">
        <v>3408</v>
      </c>
      <c r="G65" s="608">
        <v>42829</v>
      </c>
      <c r="H65" s="607" t="s">
        <v>69</v>
      </c>
      <c r="I65" s="601">
        <v>125.84</v>
      </c>
      <c r="J65" s="924"/>
    </row>
    <row r="66" spans="1:11" x14ac:dyDescent="0.25">
      <c r="A66" s="610"/>
      <c r="B66" s="610"/>
      <c r="C66" s="611"/>
      <c r="D66" s="611"/>
      <c r="E66" s="611"/>
      <c r="F66" s="611"/>
      <c r="G66" s="611"/>
      <c r="H66" s="611"/>
      <c r="I66" s="611"/>
      <c r="J66" s="611"/>
    </row>
    <row r="67" spans="1:11" ht="15" customHeight="1" x14ac:dyDescent="0.25">
      <c r="A67" s="922">
        <v>138</v>
      </c>
      <c r="B67" s="923" t="s">
        <v>1261</v>
      </c>
      <c r="C67" s="602" t="s">
        <v>1264</v>
      </c>
      <c r="D67" s="603" t="s">
        <v>1265</v>
      </c>
      <c r="E67" s="602" t="s">
        <v>1263</v>
      </c>
      <c r="F67" s="602" t="s">
        <v>1262</v>
      </c>
      <c r="G67" s="608">
        <v>42829</v>
      </c>
      <c r="H67" s="607" t="s">
        <v>69</v>
      </c>
      <c r="I67" s="601">
        <v>188.24</v>
      </c>
      <c r="J67" s="924">
        <f>MEDIAN(I67:I69)</f>
        <v>188.24</v>
      </c>
    </row>
    <row r="68" spans="1:11" x14ac:dyDescent="0.25">
      <c r="A68" s="922"/>
      <c r="B68" s="923"/>
      <c r="C68" s="602" t="s">
        <v>1268</v>
      </c>
      <c r="D68" s="603" t="s">
        <v>1269</v>
      </c>
      <c r="E68" s="602" t="s">
        <v>1267</v>
      </c>
      <c r="F68" s="602" t="s">
        <v>1266</v>
      </c>
      <c r="G68" s="608">
        <v>42829</v>
      </c>
      <c r="H68" s="607" t="s">
        <v>69</v>
      </c>
      <c r="I68" s="601">
        <v>252.87</v>
      </c>
      <c r="J68" s="924"/>
    </row>
    <row r="69" spans="1:11" x14ac:dyDescent="0.25">
      <c r="A69" s="922"/>
      <c r="B69" s="923"/>
      <c r="C69" s="602" t="s">
        <v>3406</v>
      </c>
      <c r="D69" s="603" t="s">
        <v>3407</v>
      </c>
      <c r="E69" s="602">
        <v>36143509</v>
      </c>
      <c r="F69" s="602" t="s">
        <v>3408</v>
      </c>
      <c r="G69" s="608">
        <v>42829</v>
      </c>
      <c r="H69" s="607" t="s">
        <v>69</v>
      </c>
      <c r="I69" s="601">
        <v>178</v>
      </c>
      <c r="J69" s="924"/>
    </row>
    <row r="70" spans="1:11" x14ac:dyDescent="0.25">
      <c r="A70" s="610"/>
      <c r="B70" s="610"/>
      <c r="C70" s="611"/>
      <c r="D70" s="611"/>
      <c r="E70" s="611"/>
      <c r="F70" s="611"/>
      <c r="G70" s="611"/>
      <c r="H70" s="611"/>
      <c r="I70" s="611"/>
      <c r="J70" s="611"/>
      <c r="K70" s="617"/>
    </row>
    <row r="71" spans="1:11" x14ac:dyDescent="0.25">
      <c r="A71" s="922">
        <v>127</v>
      </c>
      <c r="B71" s="923" t="s">
        <v>1379</v>
      </c>
      <c r="C71" s="614" t="s">
        <v>1382</v>
      </c>
      <c r="D71" s="613" t="s">
        <v>1383</v>
      </c>
      <c r="E71" s="614" t="s">
        <v>1381</v>
      </c>
      <c r="F71" s="614" t="s">
        <v>1380</v>
      </c>
      <c r="G71" s="618">
        <v>42758</v>
      </c>
      <c r="H71" s="615" t="s">
        <v>69</v>
      </c>
      <c r="I71" s="609">
        <v>85</v>
      </c>
      <c r="J71" s="924">
        <f>MEDIAN(I71:I73)</f>
        <v>64.37</v>
      </c>
      <c r="K71" s="928"/>
    </row>
    <row r="72" spans="1:11" x14ac:dyDescent="0.25">
      <c r="A72" s="922"/>
      <c r="B72" s="923"/>
      <c r="C72" s="614" t="s">
        <v>1386</v>
      </c>
      <c r="D72" s="613" t="s">
        <v>1371</v>
      </c>
      <c r="E72" s="614" t="s">
        <v>1385</v>
      </c>
      <c r="F72" s="614" t="s">
        <v>1384</v>
      </c>
      <c r="G72" s="618">
        <v>42758</v>
      </c>
      <c r="H72" s="615" t="s">
        <v>69</v>
      </c>
      <c r="I72" s="609">
        <v>64.37</v>
      </c>
      <c r="J72" s="924"/>
      <c r="K72" s="928"/>
    </row>
    <row r="73" spans="1:11" x14ac:dyDescent="0.25">
      <c r="A73" s="922"/>
      <c r="B73" s="923"/>
      <c r="C73" s="614" t="s">
        <v>1389</v>
      </c>
      <c r="D73" s="613" t="s">
        <v>1390</v>
      </c>
      <c r="E73" s="614" t="s">
        <v>1388</v>
      </c>
      <c r="F73" s="614" t="s">
        <v>1387</v>
      </c>
      <c r="G73" s="618">
        <v>42758</v>
      </c>
      <c r="H73" s="615" t="s">
        <v>69</v>
      </c>
      <c r="I73" s="609">
        <v>55.7</v>
      </c>
      <c r="J73" s="924"/>
      <c r="K73" s="928"/>
    </row>
    <row r="74" spans="1:11" x14ac:dyDescent="0.25">
      <c r="A74" s="610"/>
      <c r="B74" s="610"/>
      <c r="C74" s="611"/>
      <c r="D74" s="611"/>
      <c r="E74" s="611"/>
      <c r="F74" s="611"/>
      <c r="G74" s="611"/>
      <c r="H74" s="611"/>
      <c r="I74" s="611"/>
      <c r="J74" s="611"/>
      <c r="K74" s="619"/>
    </row>
    <row r="75" spans="1:11" ht="24" x14ac:dyDescent="0.25">
      <c r="A75" s="922">
        <v>77</v>
      </c>
      <c r="B75" s="933" t="s">
        <v>1364</v>
      </c>
      <c r="C75" s="612" t="s">
        <v>1366</v>
      </c>
      <c r="D75" s="613" t="s">
        <v>1265</v>
      </c>
      <c r="E75" s="614" t="s">
        <v>1457</v>
      </c>
      <c r="F75" s="614" t="s">
        <v>1365</v>
      </c>
      <c r="G75" s="618">
        <v>42675</v>
      </c>
      <c r="H75" s="615" t="s">
        <v>69</v>
      </c>
      <c r="I75" s="609">
        <v>42.33</v>
      </c>
      <c r="J75" s="924">
        <f>MEDIAN(I75:I77)</f>
        <v>42.33</v>
      </c>
      <c r="K75" s="928"/>
    </row>
    <row r="76" spans="1:11" x14ac:dyDescent="0.25">
      <c r="A76" s="922"/>
      <c r="B76" s="933"/>
      <c r="C76" s="612" t="s">
        <v>1368</v>
      </c>
      <c r="D76" s="603" t="s">
        <v>1369</v>
      </c>
      <c r="E76" s="602" t="s">
        <v>1483</v>
      </c>
      <c r="F76" s="602" t="s">
        <v>1367</v>
      </c>
      <c r="G76" s="618">
        <v>42675</v>
      </c>
      <c r="H76" s="615" t="s">
        <v>69</v>
      </c>
      <c r="I76" s="609">
        <v>53.89</v>
      </c>
      <c r="J76" s="924"/>
      <c r="K76" s="928"/>
    </row>
    <row r="77" spans="1:11" x14ac:dyDescent="0.25">
      <c r="A77" s="922"/>
      <c r="B77" s="933"/>
      <c r="C77" s="612" t="s">
        <v>3409</v>
      </c>
      <c r="D77" s="613" t="s">
        <v>1371</v>
      </c>
      <c r="E77" s="614" t="s">
        <v>1385</v>
      </c>
      <c r="F77" s="614" t="s">
        <v>1370</v>
      </c>
      <c r="G77" s="618">
        <v>42644</v>
      </c>
      <c r="H77" s="615" t="s">
        <v>69</v>
      </c>
      <c r="I77" s="609">
        <v>36.130000000000003</v>
      </c>
      <c r="J77" s="924"/>
      <c r="K77" s="928"/>
    </row>
    <row r="78" spans="1:11" x14ac:dyDescent="0.25">
      <c r="A78" s="620"/>
      <c r="B78" s="620"/>
      <c r="C78" s="621"/>
      <c r="D78" s="621"/>
      <c r="E78" s="621"/>
      <c r="F78" s="621"/>
      <c r="G78" s="621"/>
      <c r="H78" s="621"/>
      <c r="I78" s="621"/>
      <c r="J78" s="621"/>
      <c r="K78" s="619"/>
    </row>
    <row r="79" spans="1:11" ht="24" x14ac:dyDescent="0.25">
      <c r="A79" s="922">
        <v>78</v>
      </c>
      <c r="B79" s="923" t="s">
        <v>1372</v>
      </c>
      <c r="C79" s="612" t="s">
        <v>1366</v>
      </c>
      <c r="D79" s="613" t="s">
        <v>1265</v>
      </c>
      <c r="E79" s="614" t="s">
        <v>1457</v>
      </c>
      <c r="F79" s="614" t="s">
        <v>1365</v>
      </c>
      <c r="G79" s="618">
        <v>42675</v>
      </c>
      <c r="H79" s="615" t="s">
        <v>69</v>
      </c>
      <c r="I79" s="609">
        <v>42.33</v>
      </c>
      <c r="J79" s="924">
        <f>MEDIAN(I79:I81)</f>
        <v>42.33</v>
      </c>
      <c r="K79" s="928"/>
    </row>
    <row r="80" spans="1:11" x14ac:dyDescent="0.25">
      <c r="A80" s="922"/>
      <c r="B80" s="923"/>
      <c r="C80" s="612" t="s">
        <v>1368</v>
      </c>
      <c r="D80" s="603" t="s">
        <v>1369</v>
      </c>
      <c r="E80" s="602" t="s">
        <v>1483</v>
      </c>
      <c r="F80" s="602" t="s">
        <v>1367</v>
      </c>
      <c r="G80" s="618">
        <v>42675</v>
      </c>
      <c r="H80" s="615" t="s">
        <v>69</v>
      </c>
      <c r="I80" s="609">
        <v>52.33</v>
      </c>
      <c r="J80" s="924"/>
      <c r="K80" s="928"/>
    </row>
    <row r="81" spans="1:11" x14ac:dyDescent="0.25">
      <c r="A81" s="922"/>
      <c r="B81" s="923"/>
      <c r="C81" s="612" t="s">
        <v>3409</v>
      </c>
      <c r="D81" s="613" t="s">
        <v>1371</v>
      </c>
      <c r="E81" s="614" t="s">
        <v>1385</v>
      </c>
      <c r="F81" s="614" t="s">
        <v>1370</v>
      </c>
      <c r="G81" s="618">
        <v>42644</v>
      </c>
      <c r="H81" s="615" t="s">
        <v>69</v>
      </c>
      <c r="I81" s="609">
        <v>36.130000000000003</v>
      </c>
      <c r="J81" s="924"/>
      <c r="K81" s="928"/>
    </row>
    <row r="82" spans="1:11" x14ac:dyDescent="0.25">
      <c r="A82" s="610"/>
      <c r="B82" s="610"/>
      <c r="C82" s="611"/>
      <c r="D82" s="611"/>
      <c r="E82" s="611"/>
      <c r="F82" s="611"/>
      <c r="G82" s="611"/>
      <c r="H82" s="611"/>
      <c r="I82" s="611"/>
      <c r="J82" s="611"/>
      <c r="K82" s="619"/>
    </row>
    <row r="83" spans="1:11" x14ac:dyDescent="0.25">
      <c r="A83" s="922">
        <v>201</v>
      </c>
      <c r="B83" s="923" t="s">
        <v>1373</v>
      </c>
      <c r="C83" s="612" t="s">
        <v>1375</v>
      </c>
      <c r="D83" s="613" t="s">
        <v>1265</v>
      </c>
      <c r="E83" s="614">
        <v>30524200</v>
      </c>
      <c r="F83" s="614" t="s">
        <v>1374</v>
      </c>
      <c r="G83" s="618">
        <v>42644</v>
      </c>
      <c r="H83" s="615" t="s">
        <v>69</v>
      </c>
      <c r="I83" s="609">
        <v>716.41</v>
      </c>
      <c r="J83" s="924">
        <f>MEDIAN(I84:I86)</f>
        <v>793.32</v>
      </c>
      <c r="K83" s="935"/>
    </row>
    <row r="84" spans="1:11" ht="24" x14ac:dyDescent="0.25">
      <c r="A84" s="922"/>
      <c r="B84" s="923"/>
      <c r="C84" s="612" t="s">
        <v>1366</v>
      </c>
      <c r="D84" s="613" t="s">
        <v>1265</v>
      </c>
      <c r="E84" s="614" t="s">
        <v>1457</v>
      </c>
      <c r="F84" s="614" t="s">
        <v>1365</v>
      </c>
      <c r="G84" s="618">
        <v>42675</v>
      </c>
      <c r="H84" s="615" t="s">
        <v>69</v>
      </c>
      <c r="I84" s="609">
        <v>662.67</v>
      </c>
      <c r="J84" s="924"/>
      <c r="K84" s="935"/>
    </row>
    <row r="85" spans="1:11" x14ac:dyDescent="0.25">
      <c r="A85" s="922"/>
      <c r="B85" s="923"/>
      <c r="C85" s="612" t="s">
        <v>1368</v>
      </c>
      <c r="D85" s="603" t="s">
        <v>1369</v>
      </c>
      <c r="E85" s="602" t="s">
        <v>1483</v>
      </c>
      <c r="F85" s="602" t="s">
        <v>1367</v>
      </c>
      <c r="G85" s="618">
        <v>42675</v>
      </c>
      <c r="H85" s="615" t="s">
        <v>69</v>
      </c>
      <c r="I85" s="609">
        <v>793.32</v>
      </c>
      <c r="J85" s="924"/>
      <c r="K85" s="935"/>
    </row>
    <row r="86" spans="1:11" x14ac:dyDescent="0.25">
      <c r="A86" s="922"/>
      <c r="B86" s="923"/>
      <c r="C86" s="612" t="s">
        <v>3409</v>
      </c>
      <c r="D86" s="613" t="s">
        <v>1371</v>
      </c>
      <c r="E86" s="614" t="s">
        <v>1385</v>
      </c>
      <c r="F86" s="614" t="s">
        <v>1370</v>
      </c>
      <c r="G86" s="618">
        <v>42644</v>
      </c>
      <c r="H86" s="615" t="s">
        <v>69</v>
      </c>
      <c r="I86" s="609">
        <v>984.46</v>
      </c>
      <c r="J86" s="924"/>
      <c r="K86" s="622"/>
    </row>
    <row r="87" spans="1:11" x14ac:dyDescent="0.25">
      <c r="A87" s="610"/>
      <c r="B87" s="610"/>
      <c r="C87" s="611"/>
      <c r="D87" s="611"/>
      <c r="E87" s="611"/>
      <c r="F87" s="611"/>
      <c r="G87" s="611"/>
      <c r="H87" s="611"/>
      <c r="I87" s="611"/>
      <c r="J87" s="611"/>
      <c r="K87" s="936"/>
    </row>
    <row r="88" spans="1:11" ht="24" x14ac:dyDescent="0.25">
      <c r="A88" s="922">
        <v>74</v>
      </c>
      <c r="B88" s="923" t="s">
        <v>1376</v>
      </c>
      <c r="C88" s="612" t="s">
        <v>1366</v>
      </c>
      <c r="D88" s="613" t="s">
        <v>1265</v>
      </c>
      <c r="E88" s="614" t="s">
        <v>1457</v>
      </c>
      <c r="F88" s="614" t="s">
        <v>1365</v>
      </c>
      <c r="G88" s="618">
        <v>42675</v>
      </c>
      <c r="H88" s="615" t="s">
        <v>69</v>
      </c>
      <c r="I88" s="609">
        <v>55.01</v>
      </c>
      <c r="J88" s="924">
        <f>MEDIAN(I88:I90)</f>
        <v>55.01</v>
      </c>
      <c r="K88" s="936"/>
    </row>
    <row r="89" spans="1:11" x14ac:dyDescent="0.25">
      <c r="A89" s="922"/>
      <c r="B89" s="923"/>
      <c r="C89" s="612" t="s">
        <v>1368</v>
      </c>
      <c r="D89" s="603" t="s">
        <v>1369</v>
      </c>
      <c r="E89" s="602" t="s">
        <v>1483</v>
      </c>
      <c r="F89" s="602" t="s">
        <v>1367</v>
      </c>
      <c r="G89" s="618">
        <v>42675</v>
      </c>
      <c r="H89" s="615" t="s">
        <v>69</v>
      </c>
      <c r="I89" s="609">
        <v>61.51</v>
      </c>
      <c r="J89" s="924"/>
      <c r="K89" s="936"/>
    </row>
    <row r="90" spans="1:11" x14ac:dyDescent="0.25">
      <c r="A90" s="922"/>
      <c r="B90" s="923"/>
      <c r="C90" s="612" t="s">
        <v>1375</v>
      </c>
      <c r="D90" s="613" t="s">
        <v>1265</v>
      </c>
      <c r="E90" s="614">
        <v>30524200</v>
      </c>
      <c r="F90" s="614" t="s">
        <v>1374</v>
      </c>
      <c r="G90" s="618">
        <v>42644</v>
      </c>
      <c r="H90" s="615" t="s">
        <v>69</v>
      </c>
      <c r="I90" s="609">
        <v>49.03</v>
      </c>
      <c r="J90" s="924"/>
      <c r="K90" s="619"/>
    </row>
    <row r="91" spans="1:11" x14ac:dyDescent="0.25">
      <c r="A91" s="610"/>
      <c r="B91" s="610"/>
      <c r="C91" s="611"/>
      <c r="D91" s="611"/>
      <c r="E91" s="611"/>
      <c r="F91" s="611"/>
      <c r="G91" s="611"/>
      <c r="H91" s="611"/>
      <c r="I91" s="611"/>
      <c r="J91" s="611"/>
      <c r="K91" s="928"/>
    </row>
    <row r="92" spans="1:11" x14ac:dyDescent="0.25">
      <c r="A92" s="922">
        <v>233</v>
      </c>
      <c r="B92" s="923" t="s">
        <v>3410</v>
      </c>
      <c r="C92" s="612" t="s">
        <v>1504</v>
      </c>
      <c r="D92" s="603" t="s">
        <v>1390</v>
      </c>
      <c r="E92" s="614" t="s">
        <v>1388</v>
      </c>
      <c r="F92" s="614" t="s">
        <v>1503</v>
      </c>
      <c r="G92" s="618">
        <v>42758</v>
      </c>
      <c r="H92" s="615" t="s">
        <v>69</v>
      </c>
      <c r="I92" s="609">
        <v>13.29</v>
      </c>
      <c r="J92" s="924">
        <f>MEDIAN(I92:I94)</f>
        <v>13.29</v>
      </c>
      <c r="K92" s="928"/>
    </row>
    <row r="93" spans="1:11" x14ac:dyDescent="0.25">
      <c r="A93" s="922"/>
      <c r="B93" s="923"/>
      <c r="C93" s="602" t="s">
        <v>1497</v>
      </c>
      <c r="D93" s="603" t="s">
        <v>1506</v>
      </c>
      <c r="E93" s="602" t="s">
        <v>1505</v>
      </c>
      <c r="F93" s="614" t="s">
        <v>1354</v>
      </c>
      <c r="G93" s="618">
        <v>42758</v>
      </c>
      <c r="H93" s="615" t="s">
        <v>69</v>
      </c>
      <c r="I93" s="609">
        <v>11.36</v>
      </c>
      <c r="J93" s="924"/>
      <c r="K93" s="928"/>
    </row>
    <row r="94" spans="1:11" x14ac:dyDescent="0.25">
      <c r="A94" s="922"/>
      <c r="B94" s="923"/>
      <c r="C94" s="602" t="s">
        <v>1264</v>
      </c>
      <c r="D94" s="603" t="s">
        <v>1265</v>
      </c>
      <c r="E94" s="602" t="s">
        <v>1263</v>
      </c>
      <c r="F94" s="602" t="s">
        <v>1262</v>
      </c>
      <c r="G94" s="618">
        <v>42758</v>
      </c>
      <c r="H94" s="615" t="s">
        <v>69</v>
      </c>
      <c r="I94" s="609">
        <v>19.059999999999999</v>
      </c>
      <c r="J94" s="924"/>
      <c r="K94" s="619"/>
    </row>
    <row r="95" spans="1:11" x14ac:dyDescent="0.25">
      <c r="A95" s="610"/>
      <c r="B95" s="610"/>
      <c r="C95" s="611"/>
      <c r="D95" s="611"/>
      <c r="E95" s="611"/>
      <c r="F95" s="611"/>
      <c r="G95" s="611"/>
      <c r="H95" s="611"/>
      <c r="I95" s="611"/>
      <c r="J95" s="611"/>
      <c r="K95" s="928"/>
    </row>
    <row r="96" spans="1:11" x14ac:dyDescent="0.25">
      <c r="A96" s="922">
        <v>234</v>
      </c>
      <c r="B96" s="923" t="s">
        <v>3411</v>
      </c>
      <c r="C96" s="612" t="s">
        <v>1504</v>
      </c>
      <c r="D96" s="603" t="s">
        <v>1390</v>
      </c>
      <c r="E96" s="614" t="s">
        <v>1388</v>
      </c>
      <c r="F96" s="614" t="s">
        <v>1503</v>
      </c>
      <c r="G96" s="618">
        <v>42758</v>
      </c>
      <c r="H96" s="615" t="s">
        <v>69</v>
      </c>
      <c r="I96" s="609">
        <v>27.33</v>
      </c>
      <c r="J96" s="924">
        <f>MEDIAN(I96:I98)</f>
        <v>27.33</v>
      </c>
      <c r="K96" s="928"/>
    </row>
    <row r="97" spans="1:11" x14ac:dyDescent="0.25">
      <c r="A97" s="922"/>
      <c r="B97" s="923"/>
      <c r="C97" s="602" t="s">
        <v>1497</v>
      </c>
      <c r="D97" s="603" t="s">
        <v>1506</v>
      </c>
      <c r="E97" s="602" t="s">
        <v>1505</v>
      </c>
      <c r="F97" s="614" t="s">
        <v>1354</v>
      </c>
      <c r="G97" s="618">
        <v>42758</v>
      </c>
      <c r="H97" s="615" t="s">
        <v>69</v>
      </c>
      <c r="I97" s="609">
        <v>21.03</v>
      </c>
      <c r="J97" s="924"/>
      <c r="K97" s="928"/>
    </row>
    <row r="98" spans="1:11" x14ac:dyDescent="0.25">
      <c r="A98" s="922"/>
      <c r="B98" s="923"/>
      <c r="C98" s="602" t="s">
        <v>1264</v>
      </c>
      <c r="D98" s="603" t="s">
        <v>1265</v>
      </c>
      <c r="E98" s="602" t="s">
        <v>1263</v>
      </c>
      <c r="F98" s="602" t="s">
        <v>1262</v>
      </c>
      <c r="G98" s="618">
        <v>42758</v>
      </c>
      <c r="H98" s="615" t="s">
        <v>69</v>
      </c>
      <c r="I98" s="609">
        <v>31.55</v>
      </c>
      <c r="J98" s="924"/>
      <c r="K98" s="619"/>
    </row>
    <row r="99" spans="1:11" x14ac:dyDescent="0.25">
      <c r="A99" s="610"/>
      <c r="B99" s="610"/>
      <c r="C99" s="611"/>
      <c r="D99" s="611"/>
      <c r="E99" s="611"/>
      <c r="F99" s="611"/>
      <c r="G99" s="611"/>
      <c r="H99" s="611"/>
      <c r="I99" s="611"/>
      <c r="J99" s="611"/>
      <c r="K99" s="928"/>
    </row>
    <row r="100" spans="1:11" x14ac:dyDescent="0.25">
      <c r="A100" s="922">
        <v>101</v>
      </c>
      <c r="B100" s="923" t="s">
        <v>1507</v>
      </c>
      <c r="C100" s="612" t="s">
        <v>1504</v>
      </c>
      <c r="D100" s="603" t="s">
        <v>1390</v>
      </c>
      <c r="E100" s="614" t="s">
        <v>1388</v>
      </c>
      <c r="F100" s="614" t="s">
        <v>1503</v>
      </c>
      <c r="G100" s="618">
        <v>42758</v>
      </c>
      <c r="H100" s="615" t="s">
        <v>69</v>
      </c>
      <c r="I100" s="609">
        <v>17.989999999999998</v>
      </c>
      <c r="J100" s="924">
        <f>MEDIAN(I100:I102)</f>
        <v>14.43</v>
      </c>
      <c r="K100" s="928"/>
    </row>
    <row r="101" spans="1:11" x14ac:dyDescent="0.25">
      <c r="A101" s="922"/>
      <c r="B101" s="923"/>
      <c r="C101" s="602" t="s">
        <v>1497</v>
      </c>
      <c r="D101" s="603" t="s">
        <v>1506</v>
      </c>
      <c r="E101" s="602" t="s">
        <v>1505</v>
      </c>
      <c r="F101" s="614" t="s">
        <v>1354</v>
      </c>
      <c r="G101" s="618">
        <v>42758</v>
      </c>
      <c r="H101" s="615" t="s">
        <v>69</v>
      </c>
      <c r="I101" s="609">
        <v>13.03</v>
      </c>
      <c r="J101" s="924"/>
      <c r="K101" s="928"/>
    </row>
    <row r="102" spans="1:11" x14ac:dyDescent="0.25">
      <c r="A102" s="922"/>
      <c r="B102" s="923"/>
      <c r="C102" s="602" t="s">
        <v>1264</v>
      </c>
      <c r="D102" s="603" t="s">
        <v>1265</v>
      </c>
      <c r="E102" s="602" t="s">
        <v>1263</v>
      </c>
      <c r="F102" s="602" t="s">
        <v>1262</v>
      </c>
      <c r="G102" s="618">
        <v>42758</v>
      </c>
      <c r="H102" s="615" t="s">
        <v>69</v>
      </c>
      <c r="I102" s="609">
        <v>14.43</v>
      </c>
      <c r="J102" s="924"/>
      <c r="K102" s="619"/>
    </row>
    <row r="103" spans="1:11" x14ac:dyDescent="0.25">
      <c r="A103" s="610"/>
      <c r="B103" s="610"/>
      <c r="C103" s="611"/>
      <c r="D103" s="611"/>
      <c r="E103" s="611"/>
      <c r="F103" s="611"/>
      <c r="G103" s="611"/>
      <c r="H103" s="611"/>
      <c r="I103" s="611"/>
      <c r="J103" s="611"/>
      <c r="K103" s="928"/>
    </row>
    <row r="104" spans="1:11" x14ac:dyDescent="0.25">
      <c r="A104" s="922">
        <v>112</v>
      </c>
      <c r="B104" s="923" t="s">
        <v>1509</v>
      </c>
      <c r="C104" s="612" t="s">
        <v>1504</v>
      </c>
      <c r="D104" s="603" t="s">
        <v>1390</v>
      </c>
      <c r="E104" s="614" t="s">
        <v>1388</v>
      </c>
      <c r="F104" s="614" t="s">
        <v>1503</v>
      </c>
      <c r="G104" s="618">
        <v>42758</v>
      </c>
      <c r="H104" s="615" t="s">
        <v>69</v>
      </c>
      <c r="I104" s="609">
        <v>11.01</v>
      </c>
      <c r="J104" s="924">
        <f>MEDIAN(I104:I106)</f>
        <v>8.15</v>
      </c>
      <c r="K104" s="928"/>
    </row>
    <row r="105" spans="1:11" x14ac:dyDescent="0.25">
      <c r="A105" s="922"/>
      <c r="B105" s="923"/>
      <c r="C105" s="602" t="s">
        <v>1497</v>
      </c>
      <c r="D105" s="603" t="s">
        <v>1506</v>
      </c>
      <c r="E105" s="602" t="s">
        <v>1505</v>
      </c>
      <c r="F105" s="614" t="s">
        <v>1354</v>
      </c>
      <c r="G105" s="618">
        <v>42758</v>
      </c>
      <c r="H105" s="615" t="s">
        <v>69</v>
      </c>
      <c r="I105" s="609">
        <v>6.68</v>
      </c>
      <c r="J105" s="924"/>
      <c r="K105" s="928"/>
    </row>
    <row r="106" spans="1:11" x14ac:dyDescent="0.25">
      <c r="A106" s="922"/>
      <c r="B106" s="923"/>
      <c r="C106" s="602" t="s">
        <v>1264</v>
      </c>
      <c r="D106" s="603" t="s">
        <v>1265</v>
      </c>
      <c r="E106" s="602" t="s">
        <v>1263</v>
      </c>
      <c r="F106" s="602" t="s">
        <v>1262</v>
      </c>
      <c r="G106" s="618">
        <v>42758</v>
      </c>
      <c r="H106" s="615" t="s">
        <v>69</v>
      </c>
      <c r="I106" s="609">
        <v>8.15</v>
      </c>
      <c r="J106" s="924"/>
      <c r="K106" s="619"/>
    </row>
    <row r="107" spans="1:11" x14ac:dyDescent="0.25">
      <c r="A107" s="610"/>
      <c r="B107" s="610"/>
      <c r="C107" s="611"/>
      <c r="D107" s="611"/>
      <c r="E107" s="611"/>
      <c r="F107" s="611"/>
      <c r="G107" s="611"/>
      <c r="H107" s="611"/>
      <c r="I107" s="611"/>
      <c r="J107" s="611"/>
      <c r="K107" s="928"/>
    </row>
    <row r="108" spans="1:11" x14ac:dyDescent="0.25">
      <c r="A108" s="922">
        <v>107</v>
      </c>
      <c r="B108" s="923" t="s">
        <v>1510</v>
      </c>
      <c r="C108" s="612" t="s">
        <v>1504</v>
      </c>
      <c r="D108" s="603" t="s">
        <v>1390</v>
      </c>
      <c r="E108" s="614" t="s">
        <v>1388</v>
      </c>
      <c r="F108" s="614" t="s">
        <v>1503</v>
      </c>
      <c r="G108" s="618">
        <v>42758</v>
      </c>
      <c r="H108" s="615" t="s">
        <v>69</v>
      </c>
      <c r="I108" s="609">
        <v>318.47000000000003</v>
      </c>
      <c r="J108" s="924">
        <f>MEDIAN(I108:I110)</f>
        <v>307.27</v>
      </c>
      <c r="K108" s="928"/>
    </row>
    <row r="109" spans="1:11" x14ac:dyDescent="0.25">
      <c r="A109" s="922"/>
      <c r="B109" s="923"/>
      <c r="C109" s="602" t="s">
        <v>1264</v>
      </c>
      <c r="D109" s="603" t="s">
        <v>1265</v>
      </c>
      <c r="E109" s="602" t="s">
        <v>1263</v>
      </c>
      <c r="F109" s="602" t="s">
        <v>1262</v>
      </c>
      <c r="G109" s="618">
        <v>42758</v>
      </c>
      <c r="H109" s="615" t="s">
        <v>69</v>
      </c>
      <c r="I109" s="609">
        <v>296.07</v>
      </c>
      <c r="J109" s="924"/>
      <c r="K109" s="928"/>
    </row>
    <row r="110" spans="1:11" x14ac:dyDescent="0.25">
      <c r="A110" s="922"/>
      <c r="B110" s="923"/>
      <c r="C110" s="602"/>
      <c r="D110" s="603"/>
      <c r="E110" s="602"/>
      <c r="F110" s="602"/>
      <c r="G110" s="608"/>
      <c r="H110" s="607"/>
      <c r="I110" s="601"/>
      <c r="J110" s="924"/>
      <c r="K110" s="619"/>
    </row>
    <row r="111" spans="1:11" x14ac:dyDescent="0.25">
      <c r="A111" s="610"/>
      <c r="B111" s="610"/>
      <c r="C111" s="611"/>
      <c r="D111" s="611"/>
      <c r="E111" s="611"/>
      <c r="F111" s="611"/>
      <c r="G111" s="611"/>
      <c r="H111" s="611"/>
      <c r="I111" s="611"/>
      <c r="J111" s="611"/>
      <c r="K111" s="623"/>
    </row>
    <row r="112" spans="1:11" x14ac:dyDescent="0.25">
      <c r="A112" s="922">
        <v>164</v>
      </c>
      <c r="B112" s="923" t="s">
        <v>2677</v>
      </c>
      <c r="C112" s="614" t="s">
        <v>1393</v>
      </c>
      <c r="D112" s="613" t="s">
        <v>1383</v>
      </c>
      <c r="E112" s="614">
        <v>30291234</v>
      </c>
      <c r="F112" s="614" t="s">
        <v>1392</v>
      </c>
      <c r="G112" s="618">
        <v>42795</v>
      </c>
      <c r="H112" s="615" t="s">
        <v>69</v>
      </c>
      <c r="I112" s="609">
        <v>2512</v>
      </c>
      <c r="J112" s="924">
        <f>MEDIAN(I112:I114)</f>
        <v>2512</v>
      </c>
      <c r="K112" s="934"/>
    </row>
    <row r="113" spans="1:11" x14ac:dyDescent="0.25">
      <c r="A113" s="922"/>
      <c r="B113" s="923"/>
      <c r="C113" s="602" t="s">
        <v>1394</v>
      </c>
      <c r="D113" s="603" t="s">
        <v>1269</v>
      </c>
      <c r="E113" s="602">
        <v>33883800</v>
      </c>
      <c r="F113" s="602" t="s">
        <v>1327</v>
      </c>
      <c r="G113" s="618">
        <v>42775</v>
      </c>
      <c r="H113" s="615" t="s">
        <v>69</v>
      </c>
      <c r="I113" s="609">
        <v>1686</v>
      </c>
      <c r="J113" s="924"/>
      <c r="K113" s="934"/>
    </row>
    <row r="114" spans="1:11" x14ac:dyDescent="0.25">
      <c r="A114" s="922"/>
      <c r="B114" s="923"/>
      <c r="C114" s="614" t="s">
        <v>1396</v>
      </c>
      <c r="D114" s="613" t="s">
        <v>1397</v>
      </c>
      <c r="E114" s="614">
        <v>21276585</v>
      </c>
      <c r="F114" s="614" t="s">
        <v>1395</v>
      </c>
      <c r="G114" s="618">
        <v>42821</v>
      </c>
      <c r="H114" s="615" t="s">
        <v>69</v>
      </c>
      <c r="I114" s="609">
        <v>2964.92</v>
      </c>
      <c r="J114" s="924"/>
      <c r="K114" s="934"/>
    </row>
    <row r="115" spans="1:11" x14ac:dyDescent="0.25">
      <c r="A115" s="610"/>
      <c r="B115" s="610"/>
      <c r="C115" s="611"/>
      <c r="D115" s="611"/>
      <c r="E115" s="611"/>
      <c r="F115" s="611"/>
      <c r="G115" s="611"/>
      <c r="H115" s="611"/>
      <c r="I115" s="611"/>
      <c r="J115" s="611"/>
      <c r="K115" s="619"/>
    </row>
    <row r="116" spans="1:11" x14ac:dyDescent="0.25">
      <c r="A116" s="922">
        <v>199</v>
      </c>
      <c r="B116" s="923" t="s">
        <v>1559</v>
      </c>
      <c r="C116" s="614" t="s">
        <v>1393</v>
      </c>
      <c r="D116" s="613" t="s">
        <v>1383</v>
      </c>
      <c r="E116" s="614">
        <v>30291234</v>
      </c>
      <c r="F116" s="614" t="s">
        <v>1392</v>
      </c>
      <c r="G116" s="618">
        <v>42821</v>
      </c>
      <c r="H116" s="615" t="s">
        <v>69</v>
      </c>
      <c r="I116" s="609">
        <v>796.5</v>
      </c>
      <c r="J116" s="924">
        <f>MEDIAN(I116:I118)</f>
        <v>1314.28</v>
      </c>
      <c r="K116" s="928"/>
    </row>
    <row r="117" spans="1:11" x14ac:dyDescent="0.25">
      <c r="A117" s="922"/>
      <c r="B117" s="923"/>
      <c r="C117" s="602" t="s">
        <v>1561</v>
      </c>
      <c r="D117" s="603" t="s">
        <v>1562</v>
      </c>
      <c r="E117" s="602">
        <v>30256848</v>
      </c>
      <c r="F117" s="602" t="s">
        <v>1560</v>
      </c>
      <c r="G117" s="618">
        <v>42821</v>
      </c>
      <c r="H117" s="615" t="s">
        <v>69</v>
      </c>
      <c r="I117" s="609">
        <v>1390</v>
      </c>
      <c r="J117" s="924"/>
      <c r="K117" s="928"/>
    </row>
    <row r="118" spans="1:11" x14ac:dyDescent="0.25">
      <c r="A118" s="922"/>
      <c r="B118" s="923"/>
      <c r="C118" s="614" t="s">
        <v>1396</v>
      </c>
      <c r="D118" s="613" t="s">
        <v>1397</v>
      </c>
      <c r="E118" s="614">
        <v>21276585</v>
      </c>
      <c r="F118" s="614" t="s">
        <v>1395</v>
      </c>
      <c r="G118" s="618">
        <v>42821</v>
      </c>
      <c r="H118" s="615" t="s">
        <v>69</v>
      </c>
      <c r="I118" s="609">
        <v>1314.28</v>
      </c>
      <c r="J118" s="924"/>
      <c r="K118" s="928"/>
    </row>
    <row r="119" spans="1:11" x14ac:dyDescent="0.25">
      <c r="A119" s="610"/>
      <c r="B119" s="610"/>
      <c r="C119" s="611"/>
      <c r="D119" s="611"/>
      <c r="E119" s="611"/>
      <c r="F119" s="611"/>
      <c r="G119" s="611"/>
      <c r="H119" s="611"/>
      <c r="I119" s="611"/>
      <c r="J119" s="611"/>
      <c r="K119" s="619"/>
    </row>
    <row r="120" spans="1:11" x14ac:dyDescent="0.25">
      <c r="A120" s="922">
        <v>73</v>
      </c>
      <c r="B120" s="923" t="s">
        <v>1693</v>
      </c>
      <c r="C120" s="614" t="s">
        <v>1521</v>
      </c>
      <c r="D120" s="613" t="s">
        <v>1390</v>
      </c>
      <c r="E120" s="614">
        <v>33210009</v>
      </c>
      <c r="F120" s="614" t="s">
        <v>1641</v>
      </c>
      <c r="G120" s="618">
        <v>42736</v>
      </c>
      <c r="H120" s="615" t="s">
        <v>69</v>
      </c>
      <c r="I120" s="609">
        <v>58.93</v>
      </c>
      <c r="J120" s="924">
        <f>MEDIAN(I120:I122)</f>
        <v>58.93</v>
      </c>
      <c r="K120" s="928"/>
    </row>
    <row r="121" spans="1:11" x14ac:dyDescent="0.25">
      <c r="A121" s="922"/>
      <c r="B121" s="923"/>
      <c r="C121" s="602" t="s">
        <v>1696</v>
      </c>
      <c r="D121" s="603" t="s">
        <v>1697</v>
      </c>
      <c r="E121" s="602" t="s">
        <v>1695</v>
      </c>
      <c r="F121" s="602" t="s">
        <v>1694</v>
      </c>
      <c r="G121" s="618">
        <v>42767</v>
      </c>
      <c r="H121" s="615" t="s">
        <v>69</v>
      </c>
      <c r="I121" s="609">
        <v>37.19</v>
      </c>
      <c r="J121" s="924"/>
      <c r="K121" s="928"/>
    </row>
    <row r="122" spans="1:11" x14ac:dyDescent="0.25">
      <c r="A122" s="922"/>
      <c r="B122" s="923"/>
      <c r="C122" s="614" t="s">
        <v>1698</v>
      </c>
      <c r="D122" s="613" t="s">
        <v>1699</v>
      </c>
      <c r="E122" s="614">
        <v>21276585</v>
      </c>
      <c r="F122" s="614" t="s">
        <v>1395</v>
      </c>
      <c r="G122" s="618">
        <v>42781</v>
      </c>
      <c r="H122" s="615" t="s">
        <v>69</v>
      </c>
      <c r="I122" s="609">
        <v>66.849999999999994</v>
      </c>
      <c r="J122" s="924"/>
      <c r="K122" s="928"/>
    </row>
    <row r="123" spans="1:11" x14ac:dyDescent="0.25">
      <c r="A123" s="610"/>
      <c r="B123" s="610"/>
      <c r="C123" s="611"/>
      <c r="D123" s="611"/>
      <c r="E123" s="611"/>
      <c r="F123" s="611"/>
      <c r="G123" s="611"/>
      <c r="H123" s="611"/>
      <c r="I123" s="611"/>
      <c r="J123" s="611"/>
      <c r="K123" s="619"/>
    </row>
    <row r="124" spans="1:11" x14ac:dyDescent="0.25">
      <c r="A124" s="922">
        <v>266</v>
      </c>
      <c r="B124" s="923" t="s">
        <v>3412</v>
      </c>
      <c r="C124" s="602" t="s">
        <v>1648</v>
      </c>
      <c r="D124" s="603" t="s">
        <v>1269</v>
      </c>
      <c r="E124" s="602" t="s">
        <v>1267</v>
      </c>
      <c r="F124" s="614" t="s">
        <v>1647</v>
      </c>
      <c r="G124" s="618">
        <v>42795</v>
      </c>
      <c r="H124" s="615" t="s">
        <v>69</v>
      </c>
      <c r="I124" s="609">
        <v>13.58</v>
      </c>
      <c r="J124" s="924">
        <f>MEDIAN(I124:I126)</f>
        <v>13.58</v>
      </c>
      <c r="K124" s="928"/>
    </row>
    <row r="125" spans="1:11" x14ac:dyDescent="0.25">
      <c r="A125" s="922"/>
      <c r="B125" s="923"/>
      <c r="C125" s="602" t="s">
        <v>1640</v>
      </c>
      <c r="D125" s="603" t="s">
        <v>1498</v>
      </c>
      <c r="E125" s="602" t="s">
        <v>1505</v>
      </c>
      <c r="F125" s="602" t="s">
        <v>1639</v>
      </c>
      <c r="G125" s="618">
        <v>42795</v>
      </c>
      <c r="H125" s="615" t="s">
        <v>69</v>
      </c>
      <c r="I125" s="601">
        <v>10.48</v>
      </c>
      <c r="J125" s="924"/>
      <c r="K125" s="928"/>
    </row>
    <row r="126" spans="1:11" x14ac:dyDescent="0.25">
      <c r="A126" s="922"/>
      <c r="B126" s="923"/>
      <c r="C126" s="602" t="s">
        <v>1642</v>
      </c>
      <c r="D126" s="603" t="s">
        <v>1390</v>
      </c>
      <c r="E126" s="602">
        <v>36342266</v>
      </c>
      <c r="F126" s="602" t="s">
        <v>1641</v>
      </c>
      <c r="G126" s="618">
        <v>42795</v>
      </c>
      <c r="H126" s="615" t="s">
        <v>69</v>
      </c>
      <c r="I126" s="601">
        <v>13.69</v>
      </c>
      <c r="J126" s="924"/>
      <c r="K126" s="928"/>
    </row>
    <row r="127" spans="1:11" x14ac:dyDescent="0.25">
      <c r="A127" s="610"/>
      <c r="B127" s="610"/>
      <c r="C127" s="611"/>
      <c r="D127" s="611"/>
      <c r="E127" s="611"/>
      <c r="F127" s="611"/>
      <c r="G127" s="611"/>
      <c r="H127" s="611"/>
      <c r="I127" s="611"/>
      <c r="J127" s="611"/>
      <c r="K127" s="619"/>
    </row>
    <row r="128" spans="1:11" x14ac:dyDescent="0.25">
      <c r="A128" s="922">
        <v>267</v>
      </c>
      <c r="B128" s="923" t="s">
        <v>3210</v>
      </c>
      <c r="C128" s="602" t="s">
        <v>1648</v>
      </c>
      <c r="D128" s="603" t="s">
        <v>1269</v>
      </c>
      <c r="E128" s="602" t="s">
        <v>1267</v>
      </c>
      <c r="F128" s="614" t="s">
        <v>1647</v>
      </c>
      <c r="G128" s="618">
        <v>42795</v>
      </c>
      <c r="H128" s="615" t="s">
        <v>69</v>
      </c>
      <c r="I128" s="609">
        <v>1.57</v>
      </c>
      <c r="J128" s="924">
        <f>MEDIAN(I128:I130)</f>
        <v>1.52</v>
      </c>
      <c r="K128" s="928"/>
    </row>
    <row r="129" spans="1:11" x14ac:dyDescent="0.25">
      <c r="A129" s="922"/>
      <c r="B129" s="923"/>
      <c r="C129" s="602" t="s">
        <v>1640</v>
      </c>
      <c r="D129" s="603" t="s">
        <v>1498</v>
      </c>
      <c r="E129" s="602" t="s">
        <v>1505</v>
      </c>
      <c r="F129" s="602" t="s">
        <v>1639</v>
      </c>
      <c r="G129" s="618">
        <v>42795</v>
      </c>
      <c r="H129" s="615" t="s">
        <v>69</v>
      </c>
      <c r="I129" s="601">
        <v>0.89</v>
      </c>
      <c r="J129" s="924"/>
      <c r="K129" s="928"/>
    </row>
    <row r="130" spans="1:11" x14ac:dyDescent="0.25">
      <c r="A130" s="922"/>
      <c r="B130" s="923"/>
      <c r="C130" s="602" t="s">
        <v>1642</v>
      </c>
      <c r="D130" s="603" t="s">
        <v>1390</v>
      </c>
      <c r="E130" s="602">
        <v>36342266</v>
      </c>
      <c r="F130" s="602" t="s">
        <v>1641</v>
      </c>
      <c r="G130" s="618">
        <v>42795</v>
      </c>
      <c r="H130" s="615" t="s">
        <v>69</v>
      </c>
      <c r="I130" s="601">
        <v>1.52</v>
      </c>
      <c r="J130" s="924"/>
      <c r="K130" s="928"/>
    </row>
    <row r="131" spans="1:11" x14ac:dyDescent="0.25">
      <c r="A131" s="610"/>
      <c r="B131" s="610"/>
      <c r="C131" s="611"/>
      <c r="D131" s="611"/>
      <c r="E131" s="611"/>
      <c r="F131" s="611"/>
      <c r="G131" s="611"/>
      <c r="H131" s="611"/>
      <c r="I131" s="611"/>
      <c r="J131" s="611"/>
      <c r="K131" s="619"/>
    </row>
    <row r="132" spans="1:11" x14ac:dyDescent="0.25">
      <c r="A132" s="922">
        <v>269</v>
      </c>
      <c r="B132" s="923" t="s">
        <v>3413</v>
      </c>
      <c r="C132" s="602" t="s">
        <v>1648</v>
      </c>
      <c r="D132" s="603" t="s">
        <v>1269</v>
      </c>
      <c r="E132" s="602" t="s">
        <v>1267</v>
      </c>
      <c r="F132" s="614" t="s">
        <v>1647</v>
      </c>
      <c r="G132" s="618">
        <v>42795</v>
      </c>
      <c r="H132" s="615" t="s">
        <v>69</v>
      </c>
      <c r="I132" s="616">
        <v>2.63</v>
      </c>
      <c r="J132" s="924">
        <f>MEDIAN(I132:I134)</f>
        <v>2.2400000000000002</v>
      </c>
      <c r="K132" s="928"/>
    </row>
    <row r="133" spans="1:11" x14ac:dyDescent="0.25">
      <c r="A133" s="922"/>
      <c r="B133" s="923"/>
      <c r="C133" s="602" t="s">
        <v>1640</v>
      </c>
      <c r="D133" s="603" t="s">
        <v>1498</v>
      </c>
      <c r="E133" s="602" t="s">
        <v>1505</v>
      </c>
      <c r="F133" s="602" t="s">
        <v>1639</v>
      </c>
      <c r="G133" s="618">
        <v>42795</v>
      </c>
      <c r="H133" s="615" t="s">
        <v>69</v>
      </c>
      <c r="I133" s="616">
        <v>1.33</v>
      </c>
      <c r="J133" s="924"/>
      <c r="K133" s="928"/>
    </row>
    <row r="134" spans="1:11" x14ac:dyDescent="0.25">
      <c r="A134" s="922"/>
      <c r="B134" s="923"/>
      <c r="C134" s="602" t="s">
        <v>1642</v>
      </c>
      <c r="D134" s="603" t="s">
        <v>1390</v>
      </c>
      <c r="E134" s="602">
        <v>36342266</v>
      </c>
      <c r="F134" s="602" t="s">
        <v>1641</v>
      </c>
      <c r="G134" s="618">
        <v>42795</v>
      </c>
      <c r="H134" s="615" t="s">
        <v>69</v>
      </c>
      <c r="I134" s="616">
        <v>2.2400000000000002</v>
      </c>
      <c r="J134" s="924"/>
      <c r="K134" s="928"/>
    </row>
    <row r="135" spans="1:11" x14ac:dyDescent="0.25">
      <c r="A135" s="610"/>
      <c r="B135" s="610"/>
      <c r="C135" s="611"/>
      <c r="D135" s="611"/>
      <c r="E135" s="611"/>
      <c r="F135" s="611"/>
      <c r="G135" s="611"/>
      <c r="H135" s="611"/>
      <c r="I135" s="611"/>
      <c r="J135" s="611"/>
      <c r="K135" s="619"/>
    </row>
    <row r="136" spans="1:11" x14ac:dyDescent="0.25">
      <c r="A136" s="922">
        <v>59</v>
      </c>
      <c r="B136" s="923" t="s">
        <v>1480</v>
      </c>
      <c r="C136" s="624" t="s">
        <v>1451</v>
      </c>
      <c r="D136" s="613" t="s">
        <v>1452</v>
      </c>
      <c r="E136" s="614" t="s">
        <v>1450</v>
      </c>
      <c r="F136" s="614" t="s">
        <v>1449</v>
      </c>
      <c r="G136" s="608" t="s">
        <v>1448</v>
      </c>
      <c r="H136" s="607" t="s">
        <v>69</v>
      </c>
      <c r="I136" s="601">
        <v>4.7</v>
      </c>
      <c r="J136" s="924">
        <f>MEDIAN(I136:I138)</f>
        <v>6.56</v>
      </c>
      <c r="K136" s="928"/>
    </row>
    <row r="137" spans="1:11" x14ac:dyDescent="0.25">
      <c r="A137" s="922"/>
      <c r="B137" s="923"/>
      <c r="C137" s="624" t="s">
        <v>1454</v>
      </c>
      <c r="D137" s="613" t="s">
        <v>1265</v>
      </c>
      <c r="E137" s="614" t="s">
        <v>1263</v>
      </c>
      <c r="F137" s="614" t="s">
        <v>1453</v>
      </c>
      <c r="G137" s="608" t="s">
        <v>1448</v>
      </c>
      <c r="H137" s="607" t="s">
        <v>69</v>
      </c>
      <c r="I137" s="601">
        <v>6.56</v>
      </c>
      <c r="J137" s="924"/>
      <c r="K137" s="928"/>
    </row>
    <row r="138" spans="1:11" ht="24" x14ac:dyDescent="0.25">
      <c r="A138" s="922"/>
      <c r="B138" s="923"/>
      <c r="C138" s="624" t="s">
        <v>1458</v>
      </c>
      <c r="D138" s="613" t="s">
        <v>1459</v>
      </c>
      <c r="E138" s="614" t="s">
        <v>1457</v>
      </c>
      <c r="F138" s="614" t="s">
        <v>1456</v>
      </c>
      <c r="G138" s="608" t="s">
        <v>1448</v>
      </c>
      <c r="H138" s="607" t="s">
        <v>69</v>
      </c>
      <c r="I138" s="601">
        <v>6.67</v>
      </c>
      <c r="J138" s="924"/>
      <c r="K138" s="619"/>
    </row>
    <row r="139" spans="1:11" x14ac:dyDescent="0.25">
      <c r="A139" s="922">
        <v>63</v>
      </c>
      <c r="B139" s="923" t="s">
        <v>1473</v>
      </c>
      <c r="C139" s="624" t="s">
        <v>1451</v>
      </c>
      <c r="D139" s="613" t="s">
        <v>1452</v>
      </c>
      <c r="E139" s="614" t="s">
        <v>1450</v>
      </c>
      <c r="F139" s="614" t="s">
        <v>1449</v>
      </c>
      <c r="G139" s="608" t="s">
        <v>1448</v>
      </c>
      <c r="H139" s="607" t="s">
        <v>69</v>
      </c>
      <c r="I139" s="601">
        <v>18</v>
      </c>
      <c r="J139" s="924">
        <f>MEDIAN(I139:I141)</f>
        <v>18.489999999999998</v>
      </c>
      <c r="K139" s="928"/>
    </row>
    <row r="140" spans="1:11" x14ac:dyDescent="0.25">
      <c r="A140" s="922"/>
      <c r="B140" s="923"/>
      <c r="C140" s="624" t="s">
        <v>1454</v>
      </c>
      <c r="D140" s="613" t="s">
        <v>1265</v>
      </c>
      <c r="E140" s="614" t="s">
        <v>1263</v>
      </c>
      <c r="F140" s="614" t="s">
        <v>1453</v>
      </c>
      <c r="G140" s="608" t="s">
        <v>1448</v>
      </c>
      <c r="H140" s="607" t="s">
        <v>69</v>
      </c>
      <c r="I140" s="601">
        <v>18.87</v>
      </c>
      <c r="J140" s="924"/>
      <c r="K140" s="928"/>
    </row>
    <row r="141" spans="1:11" ht="24" x14ac:dyDescent="0.25">
      <c r="A141" s="922"/>
      <c r="B141" s="923"/>
      <c r="C141" s="624" t="s">
        <v>1458</v>
      </c>
      <c r="D141" s="613" t="s">
        <v>1459</v>
      </c>
      <c r="E141" s="614" t="s">
        <v>1457</v>
      </c>
      <c r="F141" s="614" t="s">
        <v>1456</v>
      </c>
      <c r="G141" s="608" t="s">
        <v>1448</v>
      </c>
      <c r="H141" s="607" t="s">
        <v>69</v>
      </c>
      <c r="I141" s="601">
        <v>18.489999999999998</v>
      </c>
      <c r="J141" s="924"/>
      <c r="K141" s="928"/>
    </row>
    <row r="142" spans="1:11" x14ac:dyDescent="0.25">
      <c r="A142" s="922">
        <v>66</v>
      </c>
      <c r="B142" s="923" t="s">
        <v>1472</v>
      </c>
      <c r="C142" s="624" t="s">
        <v>1451</v>
      </c>
      <c r="D142" s="613" t="s">
        <v>1452</v>
      </c>
      <c r="E142" s="614" t="s">
        <v>1450</v>
      </c>
      <c r="F142" s="614" t="s">
        <v>1449</v>
      </c>
      <c r="G142" s="608" t="s">
        <v>1448</v>
      </c>
      <c r="H142" s="607" t="s">
        <v>69</v>
      </c>
      <c r="I142" s="601">
        <v>0.45</v>
      </c>
      <c r="J142" s="924">
        <f>MEDIAN(I142:I144)</f>
        <v>0.65</v>
      </c>
      <c r="K142" s="619"/>
    </row>
    <row r="143" spans="1:11" x14ac:dyDescent="0.25">
      <c r="A143" s="922"/>
      <c r="B143" s="923"/>
      <c r="C143" s="624" t="s">
        <v>1454</v>
      </c>
      <c r="D143" s="613" t="s">
        <v>1265</v>
      </c>
      <c r="E143" s="614" t="s">
        <v>1263</v>
      </c>
      <c r="F143" s="614" t="s">
        <v>1453</v>
      </c>
      <c r="G143" s="608" t="s">
        <v>1448</v>
      </c>
      <c r="H143" s="607" t="s">
        <v>69</v>
      </c>
      <c r="I143" s="601">
        <v>0.65</v>
      </c>
      <c r="J143" s="924"/>
      <c r="K143" s="928"/>
    </row>
    <row r="144" spans="1:11" ht="24" x14ac:dyDescent="0.25">
      <c r="A144" s="922"/>
      <c r="B144" s="923"/>
      <c r="C144" s="624" t="s">
        <v>1458</v>
      </c>
      <c r="D144" s="613" t="s">
        <v>1459</v>
      </c>
      <c r="E144" s="614" t="s">
        <v>1457</v>
      </c>
      <c r="F144" s="614" t="s">
        <v>1456</v>
      </c>
      <c r="G144" s="608" t="s">
        <v>1448</v>
      </c>
      <c r="H144" s="607" t="s">
        <v>69</v>
      </c>
      <c r="I144" s="601">
        <v>0.67</v>
      </c>
      <c r="J144" s="924"/>
      <c r="K144" s="928"/>
    </row>
    <row r="145" spans="1:11" x14ac:dyDescent="0.25">
      <c r="A145" s="922">
        <v>82</v>
      </c>
      <c r="B145" s="923" t="s">
        <v>1491</v>
      </c>
      <c r="C145" s="624" t="s">
        <v>1451</v>
      </c>
      <c r="D145" s="613" t="s">
        <v>1452</v>
      </c>
      <c r="E145" s="614" t="s">
        <v>1450</v>
      </c>
      <c r="F145" s="614" t="s">
        <v>1449</v>
      </c>
      <c r="G145" s="608" t="s">
        <v>1448</v>
      </c>
      <c r="H145" s="607" t="s">
        <v>69</v>
      </c>
      <c r="I145" s="601">
        <v>18.5</v>
      </c>
      <c r="J145" s="924">
        <f>MEDIAN(I145:I147)</f>
        <v>22.06</v>
      </c>
      <c r="K145" s="928"/>
    </row>
    <row r="146" spans="1:11" x14ac:dyDescent="0.25">
      <c r="A146" s="922"/>
      <c r="B146" s="923"/>
      <c r="C146" s="624" t="s">
        <v>1454</v>
      </c>
      <c r="D146" s="613" t="s">
        <v>1265</v>
      </c>
      <c r="E146" s="614" t="s">
        <v>1263</v>
      </c>
      <c r="F146" s="614" t="s">
        <v>1453</v>
      </c>
      <c r="G146" s="608" t="s">
        <v>1448</v>
      </c>
      <c r="H146" s="607" t="s">
        <v>69</v>
      </c>
      <c r="I146" s="601">
        <v>23.14</v>
      </c>
      <c r="J146" s="924"/>
      <c r="K146" s="619"/>
    </row>
    <row r="147" spans="1:11" ht="24" x14ac:dyDescent="0.25">
      <c r="A147" s="922"/>
      <c r="B147" s="923"/>
      <c r="C147" s="624" t="s">
        <v>1458</v>
      </c>
      <c r="D147" s="613" t="s">
        <v>1459</v>
      </c>
      <c r="E147" s="614" t="s">
        <v>1457</v>
      </c>
      <c r="F147" s="614" t="s">
        <v>1456</v>
      </c>
      <c r="G147" s="608" t="s">
        <v>1448</v>
      </c>
      <c r="H147" s="607" t="s">
        <v>69</v>
      </c>
      <c r="I147" s="601">
        <v>22.06</v>
      </c>
      <c r="J147" s="924"/>
      <c r="K147" s="928"/>
    </row>
    <row r="148" spans="1:11" x14ac:dyDescent="0.25">
      <c r="A148" s="922">
        <v>100</v>
      </c>
      <c r="B148" s="923" t="s">
        <v>1486</v>
      </c>
      <c r="C148" s="624" t="s">
        <v>1451</v>
      </c>
      <c r="D148" s="613" t="s">
        <v>1452</v>
      </c>
      <c r="E148" s="614" t="s">
        <v>1450</v>
      </c>
      <c r="F148" s="614" t="s">
        <v>1449</v>
      </c>
      <c r="G148" s="608" t="s">
        <v>1448</v>
      </c>
      <c r="H148" s="607" t="s">
        <v>69</v>
      </c>
      <c r="I148" s="601">
        <v>10.9</v>
      </c>
      <c r="J148" s="924">
        <f>MEDIAN(I148:I150)</f>
        <v>10.9</v>
      </c>
      <c r="K148" s="928"/>
    </row>
    <row r="149" spans="1:11" x14ac:dyDescent="0.25">
      <c r="A149" s="922"/>
      <c r="B149" s="923"/>
      <c r="C149" s="624" t="s">
        <v>1454</v>
      </c>
      <c r="D149" s="613" t="s">
        <v>1265</v>
      </c>
      <c r="E149" s="614" t="s">
        <v>1263</v>
      </c>
      <c r="F149" s="614" t="s">
        <v>1453</v>
      </c>
      <c r="G149" s="608" t="s">
        <v>1448</v>
      </c>
      <c r="H149" s="607" t="s">
        <v>69</v>
      </c>
      <c r="I149" s="601">
        <v>10.32</v>
      </c>
      <c r="J149" s="924"/>
      <c r="K149" s="928"/>
    </row>
    <row r="150" spans="1:11" ht="24" x14ac:dyDescent="0.25">
      <c r="A150" s="922"/>
      <c r="B150" s="923"/>
      <c r="C150" s="624" t="s">
        <v>1458</v>
      </c>
      <c r="D150" s="613" t="s">
        <v>1459</v>
      </c>
      <c r="E150" s="614" t="s">
        <v>1457</v>
      </c>
      <c r="F150" s="614" t="s">
        <v>1456</v>
      </c>
      <c r="G150" s="608" t="s">
        <v>1448</v>
      </c>
      <c r="H150" s="607" t="s">
        <v>69</v>
      </c>
      <c r="I150" s="601">
        <v>11.09</v>
      </c>
      <c r="J150" s="924"/>
      <c r="K150" s="619"/>
    </row>
    <row r="151" spans="1:11" ht="25.5" x14ac:dyDescent="0.25">
      <c r="A151" s="922">
        <v>104</v>
      </c>
      <c r="B151" s="923" t="s">
        <v>1479</v>
      </c>
      <c r="C151" s="625" t="s">
        <v>1446</v>
      </c>
      <c r="D151" s="625" t="s">
        <v>1447</v>
      </c>
      <c r="E151" s="626" t="s">
        <v>1445</v>
      </c>
      <c r="F151" s="627" t="s">
        <v>1444</v>
      </c>
      <c r="G151" s="608" t="s">
        <v>1448</v>
      </c>
      <c r="H151" s="628" t="s">
        <v>69</v>
      </c>
      <c r="I151" s="629">
        <v>1793.97</v>
      </c>
      <c r="J151" s="924">
        <f>MEDIAN(I151:I153)</f>
        <v>1364.68</v>
      </c>
      <c r="K151" s="928"/>
    </row>
    <row r="152" spans="1:11" x14ac:dyDescent="0.25">
      <c r="A152" s="922"/>
      <c r="B152" s="923"/>
      <c r="C152" s="624" t="s">
        <v>1451</v>
      </c>
      <c r="D152" s="613" t="s">
        <v>1452</v>
      </c>
      <c r="E152" s="614" t="s">
        <v>1450</v>
      </c>
      <c r="F152" s="614" t="s">
        <v>1449</v>
      </c>
      <c r="G152" s="608" t="s">
        <v>1448</v>
      </c>
      <c r="H152" s="607" t="s">
        <v>69</v>
      </c>
      <c r="I152" s="601">
        <v>1364.68</v>
      </c>
      <c r="J152" s="924"/>
      <c r="K152" s="928"/>
    </row>
    <row r="153" spans="1:11" x14ac:dyDescent="0.25">
      <c r="A153" s="922"/>
      <c r="B153" s="923"/>
      <c r="C153" s="624" t="s">
        <v>1454</v>
      </c>
      <c r="D153" s="613" t="s">
        <v>1265</v>
      </c>
      <c r="E153" s="614" t="s">
        <v>1263</v>
      </c>
      <c r="F153" s="614" t="s">
        <v>1453</v>
      </c>
      <c r="G153" s="608" t="s">
        <v>1448</v>
      </c>
      <c r="H153" s="607" t="s">
        <v>69</v>
      </c>
      <c r="I153" s="601">
        <v>1332</v>
      </c>
      <c r="J153" s="924"/>
      <c r="K153" s="928"/>
    </row>
    <row r="154" spans="1:11" x14ac:dyDescent="0.25">
      <c r="A154" s="922">
        <v>110</v>
      </c>
      <c r="B154" s="923" t="s">
        <v>1489</v>
      </c>
      <c r="C154" s="624" t="s">
        <v>1451</v>
      </c>
      <c r="D154" s="613" t="s">
        <v>1452</v>
      </c>
      <c r="E154" s="614" t="s">
        <v>1450</v>
      </c>
      <c r="F154" s="614" t="s">
        <v>1449</v>
      </c>
      <c r="G154" s="608" t="s">
        <v>1448</v>
      </c>
      <c r="H154" s="607" t="s">
        <v>69</v>
      </c>
      <c r="I154" s="601">
        <v>26</v>
      </c>
      <c r="J154" s="924">
        <f>MEDIAN(I154:I156)</f>
        <v>37</v>
      </c>
      <c r="K154" s="619"/>
    </row>
    <row r="155" spans="1:11" x14ac:dyDescent="0.25">
      <c r="A155" s="922"/>
      <c r="B155" s="923"/>
      <c r="C155" s="624" t="s">
        <v>1454</v>
      </c>
      <c r="D155" s="613" t="s">
        <v>1265</v>
      </c>
      <c r="E155" s="614" t="s">
        <v>1263</v>
      </c>
      <c r="F155" s="614" t="s">
        <v>1453</v>
      </c>
      <c r="G155" s="608" t="s">
        <v>1448</v>
      </c>
      <c r="H155" s="607" t="s">
        <v>69</v>
      </c>
      <c r="I155" s="601">
        <v>37</v>
      </c>
      <c r="J155" s="924"/>
      <c r="K155" s="928"/>
    </row>
    <row r="156" spans="1:11" ht="24" x14ac:dyDescent="0.25">
      <c r="A156" s="922"/>
      <c r="B156" s="923"/>
      <c r="C156" s="624" t="s">
        <v>1458</v>
      </c>
      <c r="D156" s="613" t="s">
        <v>1459</v>
      </c>
      <c r="E156" s="614" t="s">
        <v>1457</v>
      </c>
      <c r="F156" s="614" t="s">
        <v>1456</v>
      </c>
      <c r="G156" s="608" t="s">
        <v>1448</v>
      </c>
      <c r="H156" s="607" t="s">
        <v>69</v>
      </c>
      <c r="I156" s="601">
        <v>45.6</v>
      </c>
      <c r="J156" s="924"/>
      <c r="K156" s="928"/>
    </row>
    <row r="157" spans="1:11" x14ac:dyDescent="0.25">
      <c r="A157" s="922">
        <v>111</v>
      </c>
      <c r="B157" s="923" t="s">
        <v>1490</v>
      </c>
      <c r="C157" s="624" t="s">
        <v>1451</v>
      </c>
      <c r="D157" s="613" t="s">
        <v>1452</v>
      </c>
      <c r="E157" s="614" t="s">
        <v>1450</v>
      </c>
      <c r="F157" s="614" t="s">
        <v>1449</v>
      </c>
      <c r="G157" s="608" t="s">
        <v>1448</v>
      </c>
      <c r="H157" s="607" t="s">
        <v>69</v>
      </c>
      <c r="I157" s="601">
        <v>1</v>
      </c>
      <c r="J157" s="924">
        <f>MEDIAN(I157:I159)</f>
        <v>5.56</v>
      </c>
      <c r="K157" s="928"/>
    </row>
    <row r="158" spans="1:11" x14ac:dyDescent="0.25">
      <c r="A158" s="922"/>
      <c r="B158" s="923"/>
      <c r="C158" s="624" t="s">
        <v>1454</v>
      </c>
      <c r="D158" s="613" t="s">
        <v>1265</v>
      </c>
      <c r="E158" s="614" t="s">
        <v>1263</v>
      </c>
      <c r="F158" s="614" t="s">
        <v>1453</v>
      </c>
      <c r="G158" s="608" t="s">
        <v>1448</v>
      </c>
      <c r="H158" s="607" t="s">
        <v>69</v>
      </c>
      <c r="I158" s="601">
        <v>10</v>
      </c>
      <c r="J158" s="924"/>
      <c r="K158" s="619"/>
    </row>
    <row r="159" spans="1:11" ht="24" x14ac:dyDescent="0.25">
      <c r="A159" s="922"/>
      <c r="B159" s="923"/>
      <c r="C159" s="624" t="s">
        <v>1458</v>
      </c>
      <c r="D159" s="613" t="s">
        <v>1459</v>
      </c>
      <c r="E159" s="614" t="s">
        <v>1457</v>
      </c>
      <c r="F159" s="614" t="s">
        <v>1456</v>
      </c>
      <c r="G159" s="608" t="s">
        <v>1448</v>
      </c>
      <c r="H159" s="607" t="s">
        <v>69</v>
      </c>
      <c r="I159" s="601">
        <v>5.56</v>
      </c>
      <c r="J159" s="924"/>
      <c r="K159" s="928"/>
    </row>
    <row r="160" spans="1:11" x14ac:dyDescent="0.25">
      <c r="A160" s="922">
        <v>114</v>
      </c>
      <c r="B160" s="923" t="s">
        <v>1468</v>
      </c>
      <c r="C160" s="624" t="s">
        <v>1451</v>
      </c>
      <c r="D160" s="613" t="s">
        <v>1452</v>
      </c>
      <c r="E160" s="614" t="s">
        <v>1450</v>
      </c>
      <c r="F160" s="614" t="s">
        <v>1449</v>
      </c>
      <c r="G160" s="608" t="s">
        <v>1448</v>
      </c>
      <c r="H160" s="607" t="s">
        <v>69</v>
      </c>
      <c r="I160" s="601">
        <v>219</v>
      </c>
      <c r="J160" s="924">
        <f>MEDIAN(I160:I162)</f>
        <v>249.05</v>
      </c>
      <c r="K160" s="928"/>
    </row>
    <row r="161" spans="1:11" x14ac:dyDescent="0.25">
      <c r="A161" s="922"/>
      <c r="B161" s="923"/>
      <c r="C161" s="624" t="s">
        <v>1454</v>
      </c>
      <c r="D161" s="613" t="s">
        <v>1265</v>
      </c>
      <c r="E161" s="614" t="s">
        <v>1263</v>
      </c>
      <c r="F161" s="614" t="s">
        <v>1453</v>
      </c>
      <c r="G161" s="608" t="s">
        <v>1448</v>
      </c>
      <c r="H161" s="607" t="s">
        <v>69</v>
      </c>
      <c r="I161" s="601">
        <v>271.95</v>
      </c>
      <c r="J161" s="924"/>
      <c r="K161" s="928"/>
    </row>
    <row r="162" spans="1:11" ht="24" x14ac:dyDescent="0.25">
      <c r="A162" s="922"/>
      <c r="B162" s="923"/>
      <c r="C162" s="624" t="s">
        <v>1458</v>
      </c>
      <c r="D162" s="613" t="s">
        <v>1459</v>
      </c>
      <c r="E162" s="614" t="s">
        <v>1457</v>
      </c>
      <c r="F162" s="614" t="s">
        <v>1456</v>
      </c>
      <c r="G162" s="608" t="s">
        <v>1448</v>
      </c>
      <c r="H162" s="607" t="s">
        <v>69</v>
      </c>
      <c r="I162" s="601">
        <v>249.05</v>
      </c>
      <c r="J162" s="924"/>
      <c r="K162" s="619"/>
    </row>
    <row r="163" spans="1:11" x14ac:dyDescent="0.25">
      <c r="A163" s="922">
        <v>119</v>
      </c>
      <c r="B163" s="923" t="s">
        <v>1487</v>
      </c>
      <c r="C163" s="624" t="s">
        <v>1451</v>
      </c>
      <c r="D163" s="613" t="s">
        <v>1452</v>
      </c>
      <c r="E163" s="614" t="s">
        <v>1450</v>
      </c>
      <c r="F163" s="614" t="s">
        <v>1449</v>
      </c>
      <c r="G163" s="608" t="s">
        <v>1448</v>
      </c>
      <c r="H163" s="607" t="s">
        <v>69</v>
      </c>
      <c r="I163" s="601">
        <v>7.5</v>
      </c>
      <c r="J163" s="924">
        <f>MEDIAN(I163:I165)</f>
        <v>12.23</v>
      </c>
      <c r="K163" s="928"/>
    </row>
    <row r="164" spans="1:11" x14ac:dyDescent="0.25">
      <c r="A164" s="922"/>
      <c r="B164" s="923"/>
      <c r="C164" s="624" t="s">
        <v>1454</v>
      </c>
      <c r="D164" s="613" t="s">
        <v>1265</v>
      </c>
      <c r="E164" s="614" t="s">
        <v>1263</v>
      </c>
      <c r="F164" s="614" t="s">
        <v>1453</v>
      </c>
      <c r="G164" s="608" t="s">
        <v>1448</v>
      </c>
      <c r="H164" s="607" t="s">
        <v>69</v>
      </c>
      <c r="I164" s="601">
        <v>24.9</v>
      </c>
      <c r="J164" s="924"/>
      <c r="K164" s="928"/>
    </row>
    <row r="165" spans="1:11" ht="24" x14ac:dyDescent="0.25">
      <c r="A165" s="922"/>
      <c r="B165" s="923"/>
      <c r="C165" s="624" t="s">
        <v>1458</v>
      </c>
      <c r="D165" s="613" t="s">
        <v>1459</v>
      </c>
      <c r="E165" s="614" t="s">
        <v>1457</v>
      </c>
      <c r="F165" s="614" t="s">
        <v>1456</v>
      </c>
      <c r="G165" s="608" t="s">
        <v>1448</v>
      </c>
      <c r="H165" s="607" t="s">
        <v>69</v>
      </c>
      <c r="I165" s="601">
        <v>12.23</v>
      </c>
      <c r="J165" s="924"/>
      <c r="K165" s="928"/>
    </row>
    <row r="166" spans="1:11" x14ac:dyDescent="0.25">
      <c r="A166" s="922">
        <v>120</v>
      </c>
      <c r="B166" s="923" t="s">
        <v>1485</v>
      </c>
      <c r="C166" s="624" t="s">
        <v>1451</v>
      </c>
      <c r="D166" s="613" t="s">
        <v>1452</v>
      </c>
      <c r="E166" s="614" t="s">
        <v>1450</v>
      </c>
      <c r="F166" s="614" t="s">
        <v>1449</v>
      </c>
      <c r="G166" s="608" t="s">
        <v>1448</v>
      </c>
      <c r="H166" s="607" t="s">
        <v>69</v>
      </c>
      <c r="I166" s="601">
        <v>3.2</v>
      </c>
      <c r="J166" s="924">
        <f>MEDIAN(I166:I168)</f>
        <v>3.2</v>
      </c>
      <c r="K166" s="619"/>
    </row>
    <row r="167" spans="1:11" x14ac:dyDescent="0.25">
      <c r="A167" s="922"/>
      <c r="B167" s="923"/>
      <c r="C167" s="624" t="s">
        <v>1454</v>
      </c>
      <c r="D167" s="613" t="s">
        <v>1265</v>
      </c>
      <c r="E167" s="614" t="s">
        <v>1263</v>
      </c>
      <c r="F167" s="614" t="s">
        <v>1453</v>
      </c>
      <c r="G167" s="608" t="s">
        <v>1448</v>
      </c>
      <c r="H167" s="607" t="s">
        <v>69</v>
      </c>
      <c r="I167" s="601">
        <v>2.31</v>
      </c>
      <c r="J167" s="924"/>
      <c r="K167" s="928"/>
    </row>
    <row r="168" spans="1:11" ht="25.5" x14ac:dyDescent="0.25">
      <c r="A168" s="922"/>
      <c r="B168" s="923"/>
      <c r="C168" s="625" t="s">
        <v>1446</v>
      </c>
      <c r="D168" s="625" t="s">
        <v>1447</v>
      </c>
      <c r="E168" s="626" t="s">
        <v>1445</v>
      </c>
      <c r="F168" s="627" t="s">
        <v>1444</v>
      </c>
      <c r="G168" s="608" t="s">
        <v>1448</v>
      </c>
      <c r="H168" s="628" t="s">
        <v>69</v>
      </c>
      <c r="I168" s="601">
        <v>4</v>
      </c>
      <c r="J168" s="924"/>
      <c r="K168" s="928"/>
    </row>
    <row r="169" spans="1:11" x14ac:dyDescent="0.25">
      <c r="A169" s="922">
        <v>121</v>
      </c>
      <c r="B169" s="923" t="s">
        <v>1467</v>
      </c>
      <c r="C169" s="624" t="s">
        <v>1451</v>
      </c>
      <c r="D169" s="613" t="s">
        <v>1452</v>
      </c>
      <c r="E169" s="614" t="s">
        <v>1450</v>
      </c>
      <c r="F169" s="614" t="s">
        <v>1449</v>
      </c>
      <c r="G169" s="608" t="s">
        <v>1448</v>
      </c>
      <c r="H169" s="607" t="s">
        <v>69</v>
      </c>
      <c r="I169" s="601">
        <v>69</v>
      </c>
      <c r="J169" s="924">
        <f>MEDIAN(I169:I171)</f>
        <v>96.49</v>
      </c>
      <c r="K169" s="928"/>
    </row>
    <row r="170" spans="1:11" x14ac:dyDescent="0.25">
      <c r="A170" s="922"/>
      <c r="B170" s="923"/>
      <c r="C170" s="624" t="s">
        <v>1454</v>
      </c>
      <c r="D170" s="613" t="s">
        <v>1265</v>
      </c>
      <c r="E170" s="614" t="s">
        <v>1263</v>
      </c>
      <c r="F170" s="614" t="s">
        <v>1453</v>
      </c>
      <c r="G170" s="608" t="s">
        <v>1448</v>
      </c>
      <c r="H170" s="607" t="s">
        <v>69</v>
      </c>
      <c r="I170" s="601">
        <v>115.62</v>
      </c>
      <c r="J170" s="924"/>
      <c r="K170" s="619"/>
    </row>
    <row r="171" spans="1:11" ht="24" x14ac:dyDescent="0.25">
      <c r="A171" s="922"/>
      <c r="B171" s="923"/>
      <c r="C171" s="624" t="s">
        <v>1458</v>
      </c>
      <c r="D171" s="613" t="s">
        <v>1459</v>
      </c>
      <c r="E171" s="614" t="s">
        <v>1457</v>
      </c>
      <c r="F171" s="614" t="s">
        <v>1456</v>
      </c>
      <c r="G171" s="608" t="s">
        <v>1448</v>
      </c>
      <c r="H171" s="607" t="s">
        <v>69</v>
      </c>
      <c r="I171" s="601">
        <v>96.49</v>
      </c>
      <c r="J171" s="924"/>
      <c r="K171" s="928"/>
    </row>
    <row r="172" spans="1:11" x14ac:dyDescent="0.25">
      <c r="A172" s="922">
        <v>129</v>
      </c>
      <c r="B172" s="923" t="s">
        <v>1499</v>
      </c>
      <c r="C172" s="624" t="s">
        <v>1494</v>
      </c>
      <c r="D172" s="613" t="s">
        <v>1369</v>
      </c>
      <c r="E172" s="614" t="s">
        <v>1493</v>
      </c>
      <c r="F172" s="614" t="s">
        <v>1492</v>
      </c>
      <c r="G172" s="608" t="s">
        <v>1448</v>
      </c>
      <c r="H172" s="607" t="s">
        <v>69</v>
      </c>
      <c r="I172" s="601">
        <v>294.63</v>
      </c>
      <c r="J172" s="924">
        <f>MEDIAN(I172:I174)</f>
        <v>184.37</v>
      </c>
      <c r="K172" s="928"/>
    </row>
    <row r="173" spans="1:11" x14ac:dyDescent="0.25">
      <c r="A173" s="922"/>
      <c r="B173" s="923"/>
      <c r="C173" s="624" t="s">
        <v>1497</v>
      </c>
      <c r="D173" s="613" t="s">
        <v>1498</v>
      </c>
      <c r="E173" s="614" t="s">
        <v>1496</v>
      </c>
      <c r="F173" s="614" t="s">
        <v>1495</v>
      </c>
      <c r="G173" s="608" t="s">
        <v>1448</v>
      </c>
      <c r="H173" s="607" t="s">
        <v>69</v>
      </c>
      <c r="I173" s="601">
        <v>178.27</v>
      </c>
      <c r="J173" s="924"/>
      <c r="K173" s="928"/>
    </row>
    <row r="174" spans="1:11" x14ac:dyDescent="0.25">
      <c r="A174" s="922"/>
      <c r="B174" s="923"/>
      <c r="C174" s="624" t="s">
        <v>1454</v>
      </c>
      <c r="D174" s="613" t="s">
        <v>1265</v>
      </c>
      <c r="E174" s="614" t="s">
        <v>1263</v>
      </c>
      <c r="F174" s="614" t="s">
        <v>1262</v>
      </c>
      <c r="G174" s="608" t="s">
        <v>1448</v>
      </c>
      <c r="H174" s="607" t="s">
        <v>69</v>
      </c>
      <c r="I174" s="601">
        <v>184.37</v>
      </c>
      <c r="J174" s="924"/>
      <c r="K174" s="619"/>
    </row>
    <row r="175" spans="1:11" x14ac:dyDescent="0.25">
      <c r="A175" s="922">
        <v>135</v>
      </c>
      <c r="B175" s="923" t="s">
        <v>1469</v>
      </c>
      <c r="C175" s="624" t="s">
        <v>1451</v>
      </c>
      <c r="D175" s="613" t="s">
        <v>1452</v>
      </c>
      <c r="E175" s="614" t="s">
        <v>1450</v>
      </c>
      <c r="F175" s="614" t="s">
        <v>1449</v>
      </c>
      <c r="G175" s="608" t="s">
        <v>1448</v>
      </c>
      <c r="H175" s="607" t="s">
        <v>69</v>
      </c>
      <c r="I175" s="601">
        <v>1.9</v>
      </c>
      <c r="J175" s="924">
        <f>MEDIAN(I175:I177)</f>
        <v>1.9</v>
      </c>
      <c r="K175" s="928"/>
    </row>
    <row r="176" spans="1:11" x14ac:dyDescent="0.25">
      <c r="A176" s="922"/>
      <c r="B176" s="923"/>
      <c r="C176" s="624" t="s">
        <v>1454</v>
      </c>
      <c r="D176" s="613" t="s">
        <v>1265</v>
      </c>
      <c r="E176" s="614" t="s">
        <v>1263</v>
      </c>
      <c r="F176" s="614" t="s">
        <v>1453</v>
      </c>
      <c r="G176" s="608" t="s">
        <v>1448</v>
      </c>
      <c r="H176" s="607" t="s">
        <v>69</v>
      </c>
      <c r="I176" s="601">
        <v>2.59</v>
      </c>
      <c r="J176" s="924"/>
      <c r="K176" s="928"/>
    </row>
    <row r="177" spans="1:11" ht="24" x14ac:dyDescent="0.25">
      <c r="A177" s="922"/>
      <c r="B177" s="923"/>
      <c r="C177" s="624" t="s">
        <v>1458</v>
      </c>
      <c r="D177" s="613" t="s">
        <v>1459</v>
      </c>
      <c r="E177" s="614" t="s">
        <v>1457</v>
      </c>
      <c r="F177" s="614" t="s">
        <v>1456</v>
      </c>
      <c r="G177" s="608" t="s">
        <v>1448</v>
      </c>
      <c r="H177" s="607" t="s">
        <v>69</v>
      </c>
      <c r="I177" s="601">
        <v>1.73</v>
      </c>
      <c r="J177" s="924"/>
      <c r="K177" s="928"/>
    </row>
    <row r="178" spans="1:11" x14ac:dyDescent="0.25">
      <c r="A178" s="922">
        <v>141</v>
      </c>
      <c r="B178" s="923" t="s">
        <v>1465</v>
      </c>
      <c r="C178" s="624" t="s">
        <v>1451</v>
      </c>
      <c r="D178" s="613" t="s">
        <v>1452</v>
      </c>
      <c r="E178" s="614" t="s">
        <v>1450</v>
      </c>
      <c r="F178" s="614" t="s">
        <v>1449</v>
      </c>
      <c r="G178" s="608" t="s">
        <v>1448</v>
      </c>
      <c r="H178" s="607" t="s">
        <v>69</v>
      </c>
      <c r="I178" s="601">
        <v>15.6</v>
      </c>
      <c r="J178" s="924">
        <f>MEDIAN(I178:I180)</f>
        <v>19.809999999999999</v>
      </c>
      <c r="K178" s="619"/>
    </row>
    <row r="179" spans="1:11" x14ac:dyDescent="0.25">
      <c r="A179" s="922"/>
      <c r="B179" s="923"/>
      <c r="C179" s="624" t="s">
        <v>1454</v>
      </c>
      <c r="D179" s="613" t="s">
        <v>1265</v>
      </c>
      <c r="E179" s="614" t="s">
        <v>1263</v>
      </c>
      <c r="F179" s="614" t="s">
        <v>1453</v>
      </c>
      <c r="G179" s="608" t="s">
        <v>1448</v>
      </c>
      <c r="H179" s="607" t="s">
        <v>69</v>
      </c>
      <c r="I179" s="601">
        <v>34.31</v>
      </c>
      <c r="J179" s="924"/>
      <c r="K179" s="927"/>
    </row>
    <row r="180" spans="1:11" ht="24" x14ac:dyDescent="0.25">
      <c r="A180" s="922"/>
      <c r="B180" s="923"/>
      <c r="C180" s="624" t="s">
        <v>1458</v>
      </c>
      <c r="D180" s="613" t="s">
        <v>1459</v>
      </c>
      <c r="E180" s="614" t="s">
        <v>1457</v>
      </c>
      <c r="F180" s="614" t="s">
        <v>1456</v>
      </c>
      <c r="G180" s="608" t="s">
        <v>1448</v>
      </c>
      <c r="H180" s="607" t="s">
        <v>69</v>
      </c>
      <c r="I180" s="601">
        <v>19.809999999999999</v>
      </c>
      <c r="J180" s="924"/>
      <c r="K180" s="927"/>
    </row>
    <row r="181" spans="1:11" ht="25.5" x14ac:dyDescent="0.25">
      <c r="A181" s="922">
        <v>150</v>
      </c>
      <c r="B181" s="923" t="s">
        <v>1463</v>
      </c>
      <c r="C181" s="625" t="s">
        <v>1446</v>
      </c>
      <c r="D181" s="625" t="s">
        <v>1447</v>
      </c>
      <c r="E181" s="626" t="s">
        <v>1445</v>
      </c>
      <c r="F181" s="627" t="s">
        <v>1444</v>
      </c>
      <c r="G181" s="608" t="s">
        <v>1448</v>
      </c>
      <c r="H181" s="628" t="s">
        <v>69</v>
      </c>
      <c r="I181" s="601">
        <v>10.3</v>
      </c>
      <c r="J181" s="924">
        <f>MEDIAN(I181:I183)</f>
        <v>10.18</v>
      </c>
      <c r="K181" s="927"/>
    </row>
    <row r="182" spans="1:11" x14ac:dyDescent="0.25">
      <c r="A182" s="922"/>
      <c r="B182" s="923"/>
      <c r="C182" s="624" t="s">
        <v>1451</v>
      </c>
      <c r="D182" s="613" t="s">
        <v>1452</v>
      </c>
      <c r="E182" s="614" t="s">
        <v>1450</v>
      </c>
      <c r="F182" s="614" t="s">
        <v>1449</v>
      </c>
      <c r="G182" s="608" t="s">
        <v>1448</v>
      </c>
      <c r="H182" s="607" t="s">
        <v>69</v>
      </c>
      <c r="I182" s="601">
        <v>7.4</v>
      </c>
      <c r="J182" s="924"/>
      <c r="K182" s="619"/>
    </row>
    <row r="183" spans="1:11" x14ac:dyDescent="0.25">
      <c r="A183" s="922"/>
      <c r="B183" s="923"/>
      <c r="C183" s="624" t="s">
        <v>1454</v>
      </c>
      <c r="D183" s="613" t="s">
        <v>1265</v>
      </c>
      <c r="E183" s="614" t="s">
        <v>1263</v>
      </c>
      <c r="F183" s="614" t="s">
        <v>1453</v>
      </c>
      <c r="G183" s="608" t="s">
        <v>1448</v>
      </c>
      <c r="H183" s="607" t="s">
        <v>69</v>
      </c>
      <c r="I183" s="601">
        <v>10.18</v>
      </c>
      <c r="J183" s="924"/>
      <c r="K183" s="928"/>
    </row>
    <row r="184" spans="1:11" x14ac:dyDescent="0.25">
      <c r="A184" s="922">
        <v>152</v>
      </c>
      <c r="B184" s="923" t="s">
        <v>1481</v>
      </c>
      <c r="C184" s="624" t="s">
        <v>1451</v>
      </c>
      <c r="D184" s="613" t="s">
        <v>1452</v>
      </c>
      <c r="E184" s="614" t="s">
        <v>1450</v>
      </c>
      <c r="F184" s="614" t="s">
        <v>1449</v>
      </c>
      <c r="G184" s="608" t="s">
        <v>1448</v>
      </c>
      <c r="H184" s="607" t="s">
        <v>69</v>
      </c>
      <c r="I184" s="601">
        <v>34.5</v>
      </c>
      <c r="J184" s="924">
        <f>MEDIAN(I184:I186)</f>
        <v>40.369999999999997</v>
      </c>
      <c r="K184" s="928"/>
    </row>
    <row r="185" spans="1:11" x14ac:dyDescent="0.25">
      <c r="A185" s="922"/>
      <c r="B185" s="923"/>
      <c r="C185" s="624" t="s">
        <v>1454</v>
      </c>
      <c r="D185" s="613" t="s">
        <v>1265</v>
      </c>
      <c r="E185" s="614" t="s">
        <v>1263</v>
      </c>
      <c r="F185" s="614" t="s">
        <v>1453</v>
      </c>
      <c r="G185" s="608" t="s">
        <v>1448</v>
      </c>
      <c r="H185" s="607" t="s">
        <v>69</v>
      </c>
      <c r="I185" s="601">
        <v>46.71</v>
      </c>
      <c r="J185" s="924"/>
      <c r="K185" s="928"/>
    </row>
    <row r="186" spans="1:11" ht="24" x14ac:dyDescent="0.25">
      <c r="A186" s="922"/>
      <c r="B186" s="923"/>
      <c r="C186" s="624" t="s">
        <v>1458</v>
      </c>
      <c r="D186" s="613" t="s">
        <v>1459</v>
      </c>
      <c r="E186" s="614" t="s">
        <v>1457</v>
      </c>
      <c r="F186" s="614" t="s">
        <v>1456</v>
      </c>
      <c r="G186" s="608" t="s">
        <v>1448</v>
      </c>
      <c r="H186" s="607" t="s">
        <v>69</v>
      </c>
      <c r="I186" s="601">
        <v>40.369999999999997</v>
      </c>
      <c r="J186" s="924"/>
      <c r="K186" s="619"/>
    </row>
    <row r="187" spans="1:11" x14ac:dyDescent="0.25">
      <c r="A187" s="922">
        <v>153</v>
      </c>
      <c r="B187" s="923" t="s">
        <v>1488</v>
      </c>
      <c r="C187" s="624" t="s">
        <v>1451</v>
      </c>
      <c r="D187" s="613" t="s">
        <v>1452</v>
      </c>
      <c r="E187" s="614" t="s">
        <v>1450</v>
      </c>
      <c r="F187" s="614" t="s">
        <v>1449</v>
      </c>
      <c r="G187" s="608" t="s">
        <v>1448</v>
      </c>
      <c r="H187" s="607" t="s">
        <v>69</v>
      </c>
      <c r="I187" s="601">
        <v>12.2</v>
      </c>
      <c r="J187" s="924">
        <f>MEDIAN(I187:I189)</f>
        <v>12.2</v>
      </c>
      <c r="K187" s="928"/>
    </row>
    <row r="188" spans="1:11" x14ac:dyDescent="0.25">
      <c r="A188" s="922"/>
      <c r="B188" s="923"/>
      <c r="C188" s="624" t="s">
        <v>1454</v>
      </c>
      <c r="D188" s="613" t="s">
        <v>1265</v>
      </c>
      <c r="E188" s="614" t="s">
        <v>1263</v>
      </c>
      <c r="F188" s="614" t="s">
        <v>1453</v>
      </c>
      <c r="G188" s="608" t="s">
        <v>1448</v>
      </c>
      <c r="H188" s="607" t="s">
        <v>69</v>
      </c>
      <c r="I188" s="601">
        <v>11.56</v>
      </c>
      <c r="J188" s="924"/>
      <c r="K188" s="928"/>
    </row>
    <row r="189" spans="1:11" ht="24" x14ac:dyDescent="0.25">
      <c r="A189" s="922"/>
      <c r="B189" s="923"/>
      <c r="C189" s="624" t="s">
        <v>1458</v>
      </c>
      <c r="D189" s="613" t="s">
        <v>1459</v>
      </c>
      <c r="E189" s="614" t="s">
        <v>1457</v>
      </c>
      <c r="F189" s="614" t="s">
        <v>1456</v>
      </c>
      <c r="G189" s="608" t="s">
        <v>1448</v>
      </c>
      <c r="H189" s="607" t="s">
        <v>69</v>
      </c>
      <c r="I189" s="601">
        <v>14.75</v>
      </c>
      <c r="J189" s="924"/>
      <c r="K189" s="928"/>
    </row>
    <row r="190" spans="1:11" x14ac:dyDescent="0.25">
      <c r="A190" s="922">
        <v>155</v>
      </c>
      <c r="B190" s="923" t="s">
        <v>1461</v>
      </c>
      <c r="C190" s="624" t="s">
        <v>1451</v>
      </c>
      <c r="D190" s="613" t="s">
        <v>1452</v>
      </c>
      <c r="E190" s="614" t="s">
        <v>1450</v>
      </c>
      <c r="F190" s="614" t="s">
        <v>1449</v>
      </c>
      <c r="G190" s="608" t="s">
        <v>1448</v>
      </c>
      <c r="H190" s="607" t="s">
        <v>69</v>
      </c>
      <c r="I190" s="601">
        <v>44</v>
      </c>
      <c r="J190" s="924">
        <f>MEDIAN(I190:I192)</f>
        <v>44</v>
      </c>
      <c r="K190" s="619"/>
    </row>
    <row r="191" spans="1:11" x14ac:dyDescent="0.25">
      <c r="A191" s="922"/>
      <c r="B191" s="923"/>
      <c r="C191" s="624" t="s">
        <v>1454</v>
      </c>
      <c r="D191" s="613" t="s">
        <v>1265</v>
      </c>
      <c r="E191" s="614" t="s">
        <v>1263</v>
      </c>
      <c r="F191" s="614" t="s">
        <v>1453</v>
      </c>
      <c r="G191" s="608" t="s">
        <v>1448</v>
      </c>
      <c r="H191" s="607" t="s">
        <v>69</v>
      </c>
      <c r="I191" s="601">
        <v>32</v>
      </c>
      <c r="J191" s="924"/>
      <c r="K191" s="928"/>
    </row>
    <row r="192" spans="1:11" ht="24" x14ac:dyDescent="0.25">
      <c r="A192" s="922"/>
      <c r="B192" s="923"/>
      <c r="C192" s="624" t="s">
        <v>1458</v>
      </c>
      <c r="D192" s="613" t="s">
        <v>1459</v>
      </c>
      <c r="E192" s="614" t="s">
        <v>1457</v>
      </c>
      <c r="F192" s="614" t="s">
        <v>1456</v>
      </c>
      <c r="G192" s="608" t="s">
        <v>1448</v>
      </c>
      <c r="H192" s="607" t="s">
        <v>69</v>
      </c>
      <c r="I192" s="601">
        <v>64.150000000000006</v>
      </c>
      <c r="J192" s="924"/>
      <c r="K192" s="928"/>
    </row>
    <row r="193" spans="1:11" x14ac:dyDescent="0.25">
      <c r="A193" s="922">
        <v>166</v>
      </c>
      <c r="B193" s="923" t="s">
        <v>1462</v>
      </c>
      <c r="C193" s="624" t="s">
        <v>1451</v>
      </c>
      <c r="D193" s="613" t="s">
        <v>1452</v>
      </c>
      <c r="E193" s="614" t="s">
        <v>1450</v>
      </c>
      <c r="F193" s="614" t="s">
        <v>1449</v>
      </c>
      <c r="G193" s="608" t="s">
        <v>1448</v>
      </c>
      <c r="H193" s="607" t="s">
        <v>69</v>
      </c>
      <c r="I193" s="601">
        <v>7.9</v>
      </c>
      <c r="J193" s="924">
        <f>MEDIAN(I193:I195)</f>
        <v>10.3</v>
      </c>
      <c r="K193" s="928"/>
    </row>
    <row r="194" spans="1:11" x14ac:dyDescent="0.25">
      <c r="A194" s="922"/>
      <c r="B194" s="923"/>
      <c r="C194" s="624" t="s">
        <v>1454</v>
      </c>
      <c r="D194" s="613" t="s">
        <v>1265</v>
      </c>
      <c r="E194" s="614" t="s">
        <v>1263</v>
      </c>
      <c r="F194" s="614" t="s">
        <v>1453</v>
      </c>
      <c r="G194" s="608" t="s">
        <v>1448</v>
      </c>
      <c r="H194" s="607" t="s">
        <v>69</v>
      </c>
      <c r="I194" s="601">
        <v>11.11</v>
      </c>
      <c r="J194" s="924"/>
      <c r="K194" s="619"/>
    </row>
    <row r="195" spans="1:11" ht="24" x14ac:dyDescent="0.25">
      <c r="A195" s="922"/>
      <c r="B195" s="923"/>
      <c r="C195" s="624" t="s">
        <v>1458</v>
      </c>
      <c r="D195" s="613" t="s">
        <v>1459</v>
      </c>
      <c r="E195" s="614" t="s">
        <v>1457</v>
      </c>
      <c r="F195" s="614" t="s">
        <v>1456</v>
      </c>
      <c r="G195" s="608" t="s">
        <v>1448</v>
      </c>
      <c r="H195" s="607" t="s">
        <v>69</v>
      </c>
      <c r="I195" s="601">
        <v>10.3</v>
      </c>
      <c r="J195" s="924"/>
      <c r="K195" s="928"/>
    </row>
    <row r="196" spans="1:11" x14ac:dyDescent="0.25">
      <c r="A196" s="922">
        <v>167</v>
      </c>
      <c r="B196" s="923" t="s">
        <v>1470</v>
      </c>
      <c r="C196" s="624" t="s">
        <v>1451</v>
      </c>
      <c r="D196" s="613" t="s">
        <v>1452</v>
      </c>
      <c r="E196" s="614" t="s">
        <v>1450</v>
      </c>
      <c r="F196" s="614" t="s">
        <v>1449</v>
      </c>
      <c r="G196" s="608" t="s">
        <v>1448</v>
      </c>
      <c r="H196" s="607" t="s">
        <v>69</v>
      </c>
      <c r="I196" s="601">
        <v>4.9000000000000004</v>
      </c>
      <c r="J196" s="924">
        <f>MEDIAN(I196:I198)</f>
        <v>5.66</v>
      </c>
      <c r="K196" s="928"/>
    </row>
    <row r="197" spans="1:11" x14ac:dyDescent="0.25">
      <c r="A197" s="922"/>
      <c r="B197" s="923"/>
      <c r="C197" s="624" t="s">
        <v>1454</v>
      </c>
      <c r="D197" s="613" t="s">
        <v>1265</v>
      </c>
      <c r="E197" s="614" t="s">
        <v>1263</v>
      </c>
      <c r="F197" s="614" t="s">
        <v>1453</v>
      </c>
      <c r="G197" s="608" t="s">
        <v>1448</v>
      </c>
      <c r="H197" s="607" t="s">
        <v>69</v>
      </c>
      <c r="I197" s="601">
        <v>8.3699999999999992</v>
      </c>
      <c r="J197" s="924"/>
      <c r="K197" s="928"/>
    </row>
    <row r="198" spans="1:11" ht="24" x14ac:dyDescent="0.25">
      <c r="A198" s="922"/>
      <c r="B198" s="923"/>
      <c r="C198" s="624" t="s">
        <v>1458</v>
      </c>
      <c r="D198" s="613" t="s">
        <v>1459</v>
      </c>
      <c r="E198" s="614" t="s">
        <v>1457</v>
      </c>
      <c r="F198" s="614" t="s">
        <v>1456</v>
      </c>
      <c r="G198" s="608" t="s">
        <v>1448</v>
      </c>
      <c r="H198" s="607" t="s">
        <v>69</v>
      </c>
      <c r="I198" s="601">
        <v>5.66</v>
      </c>
      <c r="J198" s="924"/>
      <c r="K198" s="619"/>
    </row>
    <row r="199" spans="1:11" x14ac:dyDescent="0.25">
      <c r="A199" s="922">
        <v>171</v>
      </c>
      <c r="B199" s="923" t="s">
        <v>1460</v>
      </c>
      <c r="C199" s="624" t="s">
        <v>1451</v>
      </c>
      <c r="D199" s="613" t="s">
        <v>1452</v>
      </c>
      <c r="E199" s="614" t="s">
        <v>1450</v>
      </c>
      <c r="F199" s="614" t="s">
        <v>1449</v>
      </c>
      <c r="G199" s="608" t="s">
        <v>1448</v>
      </c>
      <c r="H199" s="607" t="s">
        <v>69</v>
      </c>
      <c r="I199" s="601">
        <v>7.4</v>
      </c>
      <c r="J199" s="924">
        <f>MEDIAN(I199:I201)</f>
        <v>8.8800000000000008</v>
      </c>
      <c r="K199" s="928"/>
    </row>
    <row r="200" spans="1:11" x14ac:dyDescent="0.25">
      <c r="A200" s="922"/>
      <c r="B200" s="923"/>
      <c r="C200" s="624" t="s">
        <v>1454</v>
      </c>
      <c r="D200" s="613" t="s">
        <v>1265</v>
      </c>
      <c r="E200" s="614" t="s">
        <v>1263</v>
      </c>
      <c r="F200" s="614" t="s">
        <v>1453</v>
      </c>
      <c r="G200" s="608" t="s">
        <v>1448</v>
      </c>
      <c r="H200" s="607" t="s">
        <v>69</v>
      </c>
      <c r="I200" s="601">
        <v>8.8800000000000008</v>
      </c>
      <c r="J200" s="924"/>
      <c r="K200" s="928"/>
    </row>
    <row r="201" spans="1:11" ht="24" x14ac:dyDescent="0.25">
      <c r="A201" s="922"/>
      <c r="B201" s="923"/>
      <c r="C201" s="624" t="s">
        <v>1458</v>
      </c>
      <c r="D201" s="613" t="s">
        <v>1459</v>
      </c>
      <c r="E201" s="614" t="s">
        <v>1457</v>
      </c>
      <c r="F201" s="614" t="s">
        <v>1456</v>
      </c>
      <c r="G201" s="608" t="s">
        <v>1448</v>
      </c>
      <c r="H201" s="607" t="s">
        <v>69</v>
      </c>
      <c r="I201" s="601">
        <v>10.58</v>
      </c>
      <c r="J201" s="924"/>
      <c r="K201" s="928"/>
    </row>
    <row r="202" spans="1:11" x14ac:dyDescent="0.25">
      <c r="A202" s="922">
        <v>177</v>
      </c>
      <c r="B202" s="923" t="s">
        <v>1455</v>
      </c>
      <c r="C202" s="624" t="s">
        <v>1451</v>
      </c>
      <c r="D202" s="613" t="s">
        <v>1452</v>
      </c>
      <c r="E202" s="614" t="s">
        <v>1450</v>
      </c>
      <c r="F202" s="614" t="s">
        <v>1449</v>
      </c>
      <c r="G202" s="608" t="s">
        <v>1448</v>
      </c>
      <c r="H202" s="607" t="s">
        <v>69</v>
      </c>
      <c r="I202" s="601">
        <v>3.99</v>
      </c>
      <c r="J202" s="924">
        <f>MEDIAN(I202:I204)</f>
        <v>4.8099999999999996</v>
      </c>
      <c r="K202" s="619"/>
    </row>
    <row r="203" spans="1:11" x14ac:dyDescent="0.25">
      <c r="A203" s="922"/>
      <c r="B203" s="923"/>
      <c r="C203" s="624" t="s">
        <v>1454</v>
      </c>
      <c r="D203" s="613" t="s">
        <v>1265</v>
      </c>
      <c r="E203" s="614" t="s">
        <v>1263</v>
      </c>
      <c r="F203" s="614" t="s">
        <v>1453</v>
      </c>
      <c r="G203" s="608" t="s">
        <v>1448</v>
      </c>
      <c r="H203" s="607" t="s">
        <v>69</v>
      </c>
      <c r="I203" s="601">
        <v>4.8099999999999996</v>
      </c>
      <c r="J203" s="924"/>
      <c r="K203" s="928"/>
    </row>
    <row r="204" spans="1:11" ht="24" x14ac:dyDescent="0.25">
      <c r="A204" s="922"/>
      <c r="B204" s="923"/>
      <c r="C204" s="624" t="s">
        <v>1458</v>
      </c>
      <c r="D204" s="613" t="s">
        <v>1459</v>
      </c>
      <c r="E204" s="614" t="s">
        <v>1457</v>
      </c>
      <c r="F204" s="614" t="s">
        <v>1456</v>
      </c>
      <c r="G204" s="608" t="s">
        <v>1448</v>
      </c>
      <c r="H204" s="607" t="s">
        <v>69</v>
      </c>
      <c r="I204" s="601">
        <v>4.8600000000000003</v>
      </c>
      <c r="J204" s="924"/>
      <c r="K204" s="928"/>
    </row>
    <row r="205" spans="1:11" x14ac:dyDescent="0.25">
      <c r="A205" s="922">
        <v>178</v>
      </c>
      <c r="B205" s="923" t="s">
        <v>1466</v>
      </c>
      <c r="C205" s="624" t="s">
        <v>1451</v>
      </c>
      <c r="D205" s="613" t="s">
        <v>1452</v>
      </c>
      <c r="E205" s="614" t="s">
        <v>1450</v>
      </c>
      <c r="F205" s="614" t="s">
        <v>1449</v>
      </c>
      <c r="G205" s="608" t="s">
        <v>1448</v>
      </c>
      <c r="H205" s="607" t="s">
        <v>69</v>
      </c>
      <c r="I205" s="601">
        <v>145</v>
      </c>
      <c r="J205" s="924">
        <f>MEDIAN(I205:I207)</f>
        <v>185.01</v>
      </c>
      <c r="K205" s="928"/>
    </row>
    <row r="206" spans="1:11" x14ac:dyDescent="0.25">
      <c r="A206" s="922"/>
      <c r="B206" s="923"/>
      <c r="C206" s="624" t="s">
        <v>1454</v>
      </c>
      <c r="D206" s="613" t="s">
        <v>1265</v>
      </c>
      <c r="E206" s="614" t="s">
        <v>1263</v>
      </c>
      <c r="F206" s="614" t="s">
        <v>1453</v>
      </c>
      <c r="G206" s="608" t="s">
        <v>1448</v>
      </c>
      <c r="H206" s="607" t="s">
        <v>69</v>
      </c>
      <c r="I206" s="601">
        <v>186.79</v>
      </c>
      <c r="J206" s="924"/>
      <c r="K206" s="619"/>
    </row>
    <row r="207" spans="1:11" ht="24" x14ac:dyDescent="0.25">
      <c r="A207" s="922"/>
      <c r="B207" s="923"/>
      <c r="C207" s="624" t="s">
        <v>1458</v>
      </c>
      <c r="D207" s="613" t="s">
        <v>1459</v>
      </c>
      <c r="E207" s="614" t="s">
        <v>1457</v>
      </c>
      <c r="F207" s="614" t="s">
        <v>1456</v>
      </c>
      <c r="G207" s="608" t="s">
        <v>1448</v>
      </c>
      <c r="H207" s="607" t="s">
        <v>69</v>
      </c>
      <c r="I207" s="601">
        <v>185.01</v>
      </c>
      <c r="J207" s="924"/>
      <c r="K207" s="928"/>
    </row>
    <row r="208" spans="1:11" x14ac:dyDescent="0.25">
      <c r="A208" s="922">
        <v>183</v>
      </c>
      <c r="B208" s="923" t="s">
        <v>1464</v>
      </c>
      <c r="C208" s="624" t="s">
        <v>1451</v>
      </c>
      <c r="D208" s="613" t="s">
        <v>1452</v>
      </c>
      <c r="E208" s="614" t="s">
        <v>1450</v>
      </c>
      <c r="F208" s="614" t="s">
        <v>1449</v>
      </c>
      <c r="G208" s="608" t="s">
        <v>1448</v>
      </c>
      <c r="H208" s="607" t="s">
        <v>69</v>
      </c>
      <c r="I208" s="601">
        <v>89</v>
      </c>
      <c r="J208" s="924">
        <f>MEDIAN(I208:I210)</f>
        <v>87.86</v>
      </c>
      <c r="K208" s="928"/>
    </row>
    <row r="209" spans="1:11" x14ac:dyDescent="0.25">
      <c r="A209" s="922"/>
      <c r="B209" s="923"/>
      <c r="C209" s="624" t="s">
        <v>1454</v>
      </c>
      <c r="D209" s="613" t="s">
        <v>1265</v>
      </c>
      <c r="E209" s="614" t="s">
        <v>1263</v>
      </c>
      <c r="F209" s="614" t="s">
        <v>1453</v>
      </c>
      <c r="G209" s="608" t="s">
        <v>1448</v>
      </c>
      <c r="H209" s="607" t="s">
        <v>69</v>
      </c>
      <c r="I209" s="601">
        <v>87.86</v>
      </c>
      <c r="J209" s="924"/>
      <c r="K209" s="928"/>
    </row>
    <row r="210" spans="1:11" ht="24" x14ac:dyDescent="0.25">
      <c r="A210" s="922"/>
      <c r="B210" s="923"/>
      <c r="C210" s="624" t="s">
        <v>1458</v>
      </c>
      <c r="D210" s="613" t="s">
        <v>1459</v>
      </c>
      <c r="E210" s="614" t="s">
        <v>1457</v>
      </c>
      <c r="F210" s="614" t="s">
        <v>1456</v>
      </c>
      <c r="G210" s="608" t="s">
        <v>1448</v>
      </c>
      <c r="H210" s="607" t="s">
        <v>69</v>
      </c>
      <c r="I210" s="601">
        <v>83.96</v>
      </c>
      <c r="J210" s="924"/>
      <c r="K210" s="619"/>
    </row>
    <row r="211" spans="1:11" ht="25.5" x14ac:dyDescent="0.25">
      <c r="A211" s="922">
        <v>196</v>
      </c>
      <c r="B211" s="923" t="s">
        <v>1443</v>
      </c>
      <c r="C211" s="625" t="s">
        <v>1446</v>
      </c>
      <c r="D211" s="625" t="s">
        <v>1447</v>
      </c>
      <c r="E211" s="626" t="s">
        <v>1445</v>
      </c>
      <c r="F211" s="627" t="s">
        <v>1444</v>
      </c>
      <c r="G211" s="608" t="s">
        <v>1448</v>
      </c>
      <c r="H211" s="628" t="s">
        <v>69</v>
      </c>
      <c r="I211" s="601">
        <v>1632.93</v>
      </c>
      <c r="J211" s="924">
        <f>MEDIAN(I211:I213)</f>
        <v>1632.93</v>
      </c>
      <c r="K211" s="928"/>
    </row>
    <row r="212" spans="1:11" x14ac:dyDescent="0.25">
      <c r="A212" s="922"/>
      <c r="B212" s="923"/>
      <c r="C212" s="624" t="s">
        <v>1451</v>
      </c>
      <c r="D212" s="613" t="s">
        <v>1452</v>
      </c>
      <c r="E212" s="614" t="s">
        <v>1450</v>
      </c>
      <c r="F212" s="614" t="s">
        <v>1449</v>
      </c>
      <c r="G212" s="608" t="s">
        <v>1448</v>
      </c>
      <c r="H212" s="607" t="s">
        <v>69</v>
      </c>
      <c r="I212" s="601">
        <v>1185</v>
      </c>
      <c r="J212" s="924"/>
      <c r="K212" s="928"/>
    </row>
    <row r="213" spans="1:11" x14ac:dyDescent="0.25">
      <c r="A213" s="922"/>
      <c r="B213" s="923"/>
      <c r="C213" s="624" t="s">
        <v>1454</v>
      </c>
      <c r="D213" s="613" t="s">
        <v>1265</v>
      </c>
      <c r="E213" s="614" t="s">
        <v>1263</v>
      </c>
      <c r="F213" s="614" t="s">
        <v>1453</v>
      </c>
      <c r="G213" s="608" t="s">
        <v>1448</v>
      </c>
      <c r="H213" s="607" t="s">
        <v>69</v>
      </c>
      <c r="I213" s="601">
        <v>2040.55</v>
      </c>
      <c r="J213" s="924"/>
      <c r="K213" s="928"/>
    </row>
    <row r="214" spans="1:11" x14ac:dyDescent="0.25">
      <c r="A214" s="922">
        <v>200</v>
      </c>
      <c r="B214" s="923" t="s">
        <v>1474</v>
      </c>
      <c r="C214" s="624" t="s">
        <v>1451</v>
      </c>
      <c r="D214" s="613" t="s">
        <v>1452</v>
      </c>
      <c r="E214" s="614" t="s">
        <v>1450</v>
      </c>
      <c r="F214" s="614" t="s">
        <v>1449</v>
      </c>
      <c r="G214" s="608" t="s">
        <v>1448</v>
      </c>
      <c r="H214" s="607" t="s">
        <v>69</v>
      </c>
      <c r="I214" s="601">
        <v>10.5</v>
      </c>
      <c r="J214" s="924">
        <f>MEDIAN(I214:I216)</f>
        <v>11.32</v>
      </c>
      <c r="K214" s="619"/>
    </row>
    <row r="215" spans="1:11" x14ac:dyDescent="0.25">
      <c r="A215" s="922"/>
      <c r="B215" s="923"/>
      <c r="C215" s="624" t="s">
        <v>1454</v>
      </c>
      <c r="D215" s="613" t="s">
        <v>1265</v>
      </c>
      <c r="E215" s="614" t="s">
        <v>1263</v>
      </c>
      <c r="F215" s="614" t="s">
        <v>1453</v>
      </c>
      <c r="G215" s="608" t="s">
        <v>1448</v>
      </c>
      <c r="H215" s="607" t="s">
        <v>69</v>
      </c>
      <c r="I215" s="601">
        <v>18.87</v>
      </c>
      <c r="J215" s="924"/>
      <c r="K215" s="928"/>
    </row>
    <row r="216" spans="1:11" ht="24" x14ac:dyDescent="0.25">
      <c r="A216" s="922"/>
      <c r="B216" s="923"/>
      <c r="C216" s="624" t="s">
        <v>1458</v>
      </c>
      <c r="D216" s="613" t="s">
        <v>1459</v>
      </c>
      <c r="E216" s="614" t="s">
        <v>1457</v>
      </c>
      <c r="F216" s="614" t="s">
        <v>1456</v>
      </c>
      <c r="G216" s="608" t="s">
        <v>1448</v>
      </c>
      <c r="H216" s="607" t="s">
        <v>69</v>
      </c>
      <c r="I216" s="601">
        <v>11.32</v>
      </c>
      <c r="J216" s="924"/>
      <c r="K216" s="928"/>
    </row>
    <row r="217" spans="1:11" ht="25.5" x14ac:dyDescent="0.25">
      <c r="A217" s="922">
        <v>207</v>
      </c>
      <c r="B217" s="923" t="s">
        <v>1482</v>
      </c>
      <c r="C217" s="625" t="s">
        <v>1446</v>
      </c>
      <c r="D217" s="625" t="s">
        <v>1447</v>
      </c>
      <c r="E217" s="626" t="s">
        <v>1445</v>
      </c>
      <c r="F217" s="627" t="s">
        <v>1444</v>
      </c>
      <c r="G217" s="608" t="s">
        <v>1448</v>
      </c>
      <c r="H217" s="628" t="s">
        <v>69</v>
      </c>
      <c r="I217" s="601">
        <v>9.92</v>
      </c>
      <c r="J217" s="924">
        <f>MEDIAN(I217:I219)</f>
        <v>9.2200000000000006</v>
      </c>
      <c r="K217" s="928"/>
    </row>
    <row r="218" spans="1:11" x14ac:dyDescent="0.25">
      <c r="A218" s="922"/>
      <c r="B218" s="923"/>
      <c r="C218" s="624" t="s">
        <v>1494</v>
      </c>
      <c r="D218" s="613" t="s">
        <v>1369</v>
      </c>
      <c r="E218" s="614" t="s">
        <v>1493</v>
      </c>
      <c r="F218" s="614" t="s">
        <v>1492</v>
      </c>
      <c r="G218" s="608" t="s">
        <v>1448</v>
      </c>
      <c r="H218" s="607" t="s">
        <v>69</v>
      </c>
      <c r="I218" s="601">
        <v>9.2200000000000006</v>
      </c>
      <c r="J218" s="924"/>
      <c r="K218" s="619"/>
    </row>
    <row r="219" spans="1:11" x14ac:dyDescent="0.25">
      <c r="A219" s="922"/>
      <c r="B219" s="923"/>
      <c r="C219" s="614" t="s">
        <v>3414</v>
      </c>
      <c r="D219" s="613" t="s">
        <v>1371</v>
      </c>
      <c r="E219" s="614" t="s">
        <v>1385</v>
      </c>
      <c r="F219" s="614" t="s">
        <v>3415</v>
      </c>
      <c r="G219" s="618">
        <v>42795</v>
      </c>
      <c r="H219" s="615" t="s">
        <v>69</v>
      </c>
      <c r="I219" s="601">
        <v>7.17</v>
      </c>
      <c r="J219" s="924"/>
      <c r="K219" s="928"/>
    </row>
    <row r="220" spans="1:11" x14ac:dyDescent="0.25">
      <c r="A220" s="922">
        <v>209</v>
      </c>
      <c r="B220" s="923" t="s">
        <v>1471</v>
      </c>
      <c r="C220" s="624" t="s">
        <v>1451</v>
      </c>
      <c r="D220" s="613" t="s">
        <v>1452</v>
      </c>
      <c r="E220" s="614" t="s">
        <v>1450</v>
      </c>
      <c r="F220" s="614" t="s">
        <v>1449</v>
      </c>
      <c r="G220" s="608" t="s">
        <v>1448</v>
      </c>
      <c r="H220" s="607" t="s">
        <v>69</v>
      </c>
      <c r="I220" s="601">
        <v>24.5</v>
      </c>
      <c r="J220" s="924">
        <f>MEDIAN(I220:I222)</f>
        <v>34.96</v>
      </c>
      <c r="K220" s="928"/>
    </row>
    <row r="221" spans="1:11" x14ac:dyDescent="0.25">
      <c r="A221" s="922"/>
      <c r="B221" s="923"/>
      <c r="C221" s="624" t="s">
        <v>1454</v>
      </c>
      <c r="D221" s="613" t="s">
        <v>1265</v>
      </c>
      <c r="E221" s="614" t="s">
        <v>1263</v>
      </c>
      <c r="F221" s="614" t="s">
        <v>1453</v>
      </c>
      <c r="G221" s="608" t="s">
        <v>1448</v>
      </c>
      <c r="H221" s="607" t="s">
        <v>69</v>
      </c>
      <c r="I221" s="601">
        <v>34.96</v>
      </c>
      <c r="J221" s="924"/>
      <c r="K221" s="928"/>
    </row>
    <row r="222" spans="1:11" ht="15" customHeight="1" x14ac:dyDescent="0.25">
      <c r="A222" s="922"/>
      <c r="B222" s="923"/>
      <c r="C222" s="624" t="s">
        <v>1458</v>
      </c>
      <c r="D222" s="613" t="s">
        <v>1459</v>
      </c>
      <c r="E222" s="614" t="s">
        <v>1457</v>
      </c>
      <c r="F222" s="614" t="s">
        <v>1456</v>
      </c>
      <c r="G222" s="608" t="s">
        <v>1448</v>
      </c>
      <c r="H222" s="607" t="s">
        <v>69</v>
      </c>
      <c r="I222" s="601">
        <v>67.03</v>
      </c>
      <c r="J222" s="924"/>
      <c r="K222" s="630"/>
    </row>
    <row r="223" spans="1:11" x14ac:dyDescent="0.25">
      <c r="A223" s="922">
        <v>223</v>
      </c>
      <c r="B223" s="923" t="s">
        <v>1475</v>
      </c>
      <c r="C223" s="631" t="s">
        <v>1477</v>
      </c>
      <c r="D223" s="631" t="s">
        <v>1478</v>
      </c>
      <c r="E223" s="631">
        <v>36116500</v>
      </c>
      <c r="F223" s="600" t="s">
        <v>1476</v>
      </c>
      <c r="G223" s="608" t="s">
        <v>1448</v>
      </c>
      <c r="H223" s="607" t="s">
        <v>69</v>
      </c>
      <c r="I223" s="601">
        <v>11710</v>
      </c>
      <c r="J223" s="924">
        <f>MEDIAN(I223:I225)</f>
        <v>13500</v>
      </c>
      <c r="K223" s="632"/>
    </row>
    <row r="224" spans="1:11" x14ac:dyDescent="0.25">
      <c r="A224" s="922"/>
      <c r="B224" s="923"/>
      <c r="C224" s="624" t="s">
        <v>1451</v>
      </c>
      <c r="D224" s="613" t="s">
        <v>1452</v>
      </c>
      <c r="E224" s="614" t="s">
        <v>1450</v>
      </c>
      <c r="F224" s="614" t="s">
        <v>1449</v>
      </c>
      <c r="G224" s="608" t="s">
        <v>1448</v>
      </c>
      <c r="H224" s="607" t="s">
        <v>69</v>
      </c>
      <c r="I224" s="601">
        <v>13500</v>
      </c>
      <c r="J224" s="924"/>
      <c r="K224" s="928"/>
    </row>
    <row r="225" spans="1:11" x14ac:dyDescent="0.25">
      <c r="A225" s="922"/>
      <c r="B225" s="923"/>
      <c r="C225" s="624" t="s">
        <v>1454</v>
      </c>
      <c r="D225" s="613" t="s">
        <v>1265</v>
      </c>
      <c r="E225" s="614" t="s">
        <v>1263</v>
      </c>
      <c r="F225" s="614" t="s">
        <v>1453</v>
      </c>
      <c r="G225" s="608" t="s">
        <v>1448</v>
      </c>
      <c r="H225" s="607" t="s">
        <v>69</v>
      </c>
      <c r="I225" s="601">
        <v>15747.17</v>
      </c>
      <c r="J225" s="924"/>
      <c r="K225" s="928"/>
    </row>
    <row r="226" spans="1:11" x14ac:dyDescent="0.25">
      <c r="A226" s="922">
        <v>137</v>
      </c>
      <c r="B226" s="923" t="s">
        <v>1251</v>
      </c>
      <c r="C226" s="602" t="s">
        <v>1254</v>
      </c>
      <c r="D226" s="603" t="s">
        <v>1255</v>
      </c>
      <c r="E226" s="602" t="s">
        <v>1253</v>
      </c>
      <c r="F226" s="602" t="s">
        <v>1252</v>
      </c>
      <c r="G226" s="608">
        <v>42644</v>
      </c>
      <c r="H226" s="607" t="s">
        <v>69</v>
      </c>
      <c r="I226" s="601">
        <v>3600</v>
      </c>
      <c r="J226" s="924">
        <f>MEDIAN(I226:I228)</f>
        <v>3870</v>
      </c>
      <c r="K226" s="928"/>
    </row>
    <row r="227" spans="1:11" x14ac:dyDescent="0.25">
      <c r="A227" s="922"/>
      <c r="B227" s="923"/>
      <c r="C227" s="602" t="s">
        <v>1257</v>
      </c>
      <c r="D227" s="603" t="s">
        <v>1258</v>
      </c>
      <c r="E227" s="602" t="s">
        <v>1256</v>
      </c>
      <c r="F227" s="602"/>
      <c r="G227" s="608">
        <v>42614</v>
      </c>
      <c r="H227" s="607" t="s">
        <v>69</v>
      </c>
      <c r="I227" s="601">
        <v>3870</v>
      </c>
      <c r="J227" s="924"/>
      <c r="K227" s="928"/>
    </row>
    <row r="228" spans="1:11" x14ac:dyDescent="0.25">
      <c r="A228" s="922"/>
      <c r="B228" s="923"/>
      <c r="C228" s="602" t="s">
        <v>1248</v>
      </c>
      <c r="D228" s="603" t="s">
        <v>1249</v>
      </c>
      <c r="E228" s="602" t="s">
        <v>1247</v>
      </c>
      <c r="F228" s="602"/>
      <c r="G228" s="608">
        <v>42644</v>
      </c>
      <c r="H228" s="607" t="s">
        <v>69</v>
      </c>
      <c r="I228" s="601">
        <v>4780</v>
      </c>
      <c r="J228" s="924"/>
      <c r="K228" s="928"/>
    </row>
    <row r="229" spans="1:11" x14ac:dyDescent="0.25">
      <c r="A229" s="610"/>
      <c r="B229" s="610"/>
      <c r="C229" s="611"/>
      <c r="D229" s="611"/>
      <c r="E229" s="611"/>
      <c r="F229" s="611"/>
      <c r="G229" s="611"/>
      <c r="H229" s="611"/>
      <c r="I229" s="611"/>
      <c r="J229" s="611"/>
      <c r="K229" s="928"/>
    </row>
    <row r="230" spans="1:11" x14ac:dyDescent="0.25">
      <c r="A230" s="922">
        <v>186</v>
      </c>
      <c r="B230" s="933" t="s">
        <v>1199</v>
      </c>
      <c r="C230" s="602" t="s">
        <v>1201</v>
      </c>
      <c r="D230" s="603" t="s">
        <v>1189</v>
      </c>
      <c r="E230" s="602">
        <v>33226142</v>
      </c>
      <c r="F230" s="602" t="s">
        <v>1200</v>
      </c>
      <c r="G230" s="608">
        <v>42795</v>
      </c>
      <c r="H230" s="607" t="s">
        <v>69</v>
      </c>
      <c r="I230" s="601">
        <v>140</v>
      </c>
      <c r="J230" s="924">
        <f>MEDIAN(I230:I232)</f>
        <v>140</v>
      </c>
      <c r="K230" s="928"/>
    </row>
    <row r="231" spans="1:11" x14ac:dyDescent="0.25">
      <c r="A231" s="922"/>
      <c r="B231" s="933"/>
      <c r="C231" s="602" t="s">
        <v>2597</v>
      </c>
      <c r="D231" s="603" t="s">
        <v>2598</v>
      </c>
      <c r="E231" s="602" t="s">
        <v>2603</v>
      </c>
      <c r="F231" s="602" t="s">
        <v>2602</v>
      </c>
      <c r="G231" s="608">
        <v>42795</v>
      </c>
      <c r="H231" s="607" t="s">
        <v>69</v>
      </c>
      <c r="I231" s="601">
        <v>54.9</v>
      </c>
      <c r="J231" s="924"/>
      <c r="K231" s="928"/>
    </row>
    <row r="232" spans="1:11" x14ac:dyDescent="0.25">
      <c r="A232" s="922"/>
      <c r="B232" s="933"/>
      <c r="C232" s="602" t="s">
        <v>1202</v>
      </c>
      <c r="D232" s="603" t="s">
        <v>1203</v>
      </c>
      <c r="E232" s="602">
        <v>21368272</v>
      </c>
      <c r="F232" s="602"/>
      <c r="G232" s="608">
        <v>42795</v>
      </c>
      <c r="H232" s="607" t="s">
        <v>69</v>
      </c>
      <c r="I232" s="601">
        <v>300</v>
      </c>
      <c r="J232" s="924"/>
      <c r="K232" s="928"/>
    </row>
    <row r="233" spans="1:11" x14ac:dyDescent="0.25">
      <c r="A233" s="620"/>
      <c r="B233" s="620"/>
      <c r="C233" s="621"/>
      <c r="D233" s="621"/>
      <c r="E233" s="621"/>
      <c r="F233" s="621"/>
      <c r="G233" s="621"/>
      <c r="H233" s="621"/>
      <c r="I233" s="621"/>
      <c r="J233" s="621"/>
      <c r="K233" s="928"/>
    </row>
    <row r="234" spans="1:11" x14ac:dyDescent="0.25">
      <c r="A234" s="922">
        <v>185</v>
      </c>
      <c r="B234" s="923" t="s">
        <v>3416</v>
      </c>
      <c r="C234" s="602" t="s">
        <v>3417</v>
      </c>
      <c r="D234" s="603" t="s">
        <v>3418</v>
      </c>
      <c r="E234" s="602" t="s">
        <v>3419</v>
      </c>
      <c r="F234" s="602" t="s">
        <v>1187</v>
      </c>
      <c r="G234" s="608">
        <v>42795</v>
      </c>
      <c r="H234" s="607" t="s">
        <v>69</v>
      </c>
      <c r="I234" s="609">
        <v>4.6100000000000003</v>
      </c>
      <c r="J234" s="924">
        <f>MEDIAN(I234:I236)</f>
        <v>7.1</v>
      </c>
      <c r="K234" s="928"/>
    </row>
    <row r="235" spans="1:11" x14ac:dyDescent="0.25">
      <c r="A235" s="922"/>
      <c r="B235" s="923"/>
      <c r="C235" s="602" t="s">
        <v>3420</v>
      </c>
      <c r="D235" s="603"/>
      <c r="E235" s="602">
        <v>36143500</v>
      </c>
      <c r="F235" s="602" t="s">
        <v>3421</v>
      </c>
      <c r="G235" s="608">
        <v>42795</v>
      </c>
      <c r="H235" s="607" t="s">
        <v>69</v>
      </c>
      <c r="I235" s="609">
        <v>7.1</v>
      </c>
      <c r="J235" s="924"/>
      <c r="K235" s="928"/>
    </row>
    <row r="236" spans="1:11" x14ac:dyDescent="0.25">
      <c r="A236" s="922"/>
      <c r="B236" s="923"/>
      <c r="C236" s="602" t="s">
        <v>2597</v>
      </c>
      <c r="D236" s="603" t="s">
        <v>2598</v>
      </c>
      <c r="E236" s="633" t="s">
        <v>2596</v>
      </c>
      <c r="F236" s="602" t="s">
        <v>2602</v>
      </c>
      <c r="G236" s="608">
        <v>42795</v>
      </c>
      <c r="H236" s="607" t="s">
        <v>69</v>
      </c>
      <c r="I236" s="609">
        <v>12.72</v>
      </c>
      <c r="J236" s="924"/>
      <c r="K236" s="928"/>
    </row>
    <row r="237" spans="1:11" x14ac:dyDescent="0.25">
      <c r="A237" s="610"/>
      <c r="B237" s="610"/>
      <c r="C237" s="611"/>
      <c r="D237" s="611"/>
      <c r="E237" s="611"/>
      <c r="F237" s="611"/>
      <c r="G237" s="611"/>
      <c r="H237" s="611"/>
      <c r="I237" s="611"/>
      <c r="J237" s="611"/>
      <c r="K237" s="928"/>
    </row>
    <row r="238" spans="1:11" x14ac:dyDescent="0.25">
      <c r="A238" s="922">
        <v>148</v>
      </c>
      <c r="B238" s="923" t="s">
        <v>811</v>
      </c>
      <c r="C238" s="602" t="s">
        <v>3422</v>
      </c>
      <c r="D238" s="603" t="s">
        <v>3423</v>
      </c>
      <c r="E238" s="602" t="s">
        <v>3424</v>
      </c>
      <c r="F238" s="602" t="s">
        <v>3425</v>
      </c>
      <c r="G238" s="608">
        <v>42826</v>
      </c>
      <c r="H238" s="607" t="s">
        <v>69</v>
      </c>
      <c r="I238" s="601">
        <v>1450</v>
      </c>
      <c r="J238" s="924">
        <f>MEDIAN(I238:I240)</f>
        <v>1500</v>
      </c>
      <c r="K238" s="928"/>
    </row>
    <row r="239" spans="1:11" x14ac:dyDescent="0.25">
      <c r="A239" s="922"/>
      <c r="B239" s="923"/>
      <c r="C239" s="602" t="s">
        <v>3426</v>
      </c>
      <c r="D239" s="603" t="s">
        <v>3427</v>
      </c>
      <c r="E239" s="602" t="s">
        <v>3428</v>
      </c>
      <c r="F239" s="602" t="s">
        <v>3429</v>
      </c>
      <c r="G239" s="608">
        <v>42795</v>
      </c>
      <c r="H239" s="607" t="s">
        <v>69</v>
      </c>
      <c r="I239" s="601">
        <v>1820</v>
      </c>
      <c r="J239" s="924"/>
      <c r="K239" s="928"/>
    </row>
    <row r="240" spans="1:11" x14ac:dyDescent="0.25">
      <c r="A240" s="922"/>
      <c r="B240" s="923"/>
      <c r="C240" s="612" t="s">
        <v>3430</v>
      </c>
      <c r="D240" s="603" t="s">
        <v>3431</v>
      </c>
      <c r="E240" s="602" t="s">
        <v>3432</v>
      </c>
      <c r="F240" s="602" t="s">
        <v>3433</v>
      </c>
      <c r="G240" s="618">
        <v>42826</v>
      </c>
      <c r="H240" s="615" t="s">
        <v>69</v>
      </c>
      <c r="I240" s="609">
        <v>1500</v>
      </c>
      <c r="J240" s="924"/>
      <c r="K240" s="928"/>
    </row>
    <row r="241" spans="1:11" x14ac:dyDescent="0.25">
      <c r="A241" s="610"/>
      <c r="B241" s="610"/>
      <c r="C241" s="611"/>
      <c r="D241" s="611"/>
      <c r="E241" s="611"/>
      <c r="F241" s="611"/>
      <c r="G241" s="611"/>
      <c r="H241" s="611"/>
      <c r="I241" s="611"/>
      <c r="J241" s="611"/>
      <c r="K241" s="928"/>
    </row>
    <row r="242" spans="1:11" x14ac:dyDescent="0.25">
      <c r="A242" s="922">
        <v>144</v>
      </c>
      <c r="B242" s="923" t="s">
        <v>3434</v>
      </c>
      <c r="C242" s="634" t="s">
        <v>2668</v>
      </c>
      <c r="D242" s="635" t="s">
        <v>2313</v>
      </c>
      <c r="E242" s="634">
        <v>36272588</v>
      </c>
      <c r="F242" s="634" t="s">
        <v>2312</v>
      </c>
      <c r="G242" s="604">
        <v>42758</v>
      </c>
      <c r="H242" s="636" t="s">
        <v>69</v>
      </c>
      <c r="I242" s="616">
        <v>3500</v>
      </c>
      <c r="J242" s="924">
        <f>MEDIAN(I242:I244)</f>
        <v>3800</v>
      </c>
      <c r="K242" s="928"/>
    </row>
    <row r="243" spans="1:11" x14ac:dyDescent="0.25">
      <c r="A243" s="922"/>
      <c r="B243" s="923"/>
      <c r="C243" s="634" t="s">
        <v>1231</v>
      </c>
      <c r="D243" s="635" t="s">
        <v>1232</v>
      </c>
      <c r="E243" s="634">
        <v>33646642</v>
      </c>
      <c r="F243" s="634"/>
      <c r="G243" s="604">
        <v>42758</v>
      </c>
      <c r="H243" s="636" t="s">
        <v>69</v>
      </c>
      <c r="I243" s="616">
        <v>3800</v>
      </c>
      <c r="J243" s="924"/>
      <c r="K243" s="928"/>
    </row>
    <row r="244" spans="1:11" x14ac:dyDescent="0.25">
      <c r="A244" s="922"/>
      <c r="B244" s="923"/>
      <c r="C244" s="634" t="s">
        <v>2669</v>
      </c>
      <c r="D244" s="635" t="s">
        <v>2311</v>
      </c>
      <c r="E244" s="634">
        <v>36242644</v>
      </c>
      <c r="F244" s="634"/>
      <c r="G244" s="604">
        <v>42758</v>
      </c>
      <c r="H244" s="636" t="s">
        <v>69</v>
      </c>
      <c r="I244" s="616">
        <v>4000</v>
      </c>
      <c r="J244" s="924"/>
      <c r="K244" s="932"/>
    </row>
    <row r="245" spans="1:11" x14ac:dyDescent="0.25">
      <c r="A245" s="610"/>
      <c r="B245" s="610"/>
      <c r="C245" s="611"/>
      <c r="D245" s="611"/>
      <c r="E245" s="611"/>
      <c r="F245" s="611"/>
      <c r="G245" s="611"/>
      <c r="H245" s="611"/>
      <c r="I245" s="611"/>
      <c r="J245" s="611"/>
      <c r="K245" s="928"/>
    </row>
    <row r="246" spans="1:11" x14ac:dyDescent="0.25">
      <c r="A246" s="922">
        <v>116</v>
      </c>
      <c r="B246" s="923" t="s">
        <v>3435</v>
      </c>
      <c r="C246" s="602" t="s">
        <v>1310</v>
      </c>
      <c r="D246" s="603" t="s">
        <v>1311</v>
      </c>
      <c r="E246" s="602">
        <v>30272090</v>
      </c>
      <c r="F246" s="602" t="s">
        <v>1309</v>
      </c>
      <c r="G246" s="608">
        <v>42758</v>
      </c>
      <c r="H246" s="607" t="s">
        <v>69</v>
      </c>
      <c r="I246" s="601">
        <v>1840</v>
      </c>
      <c r="J246" s="924">
        <f>MEDIAN(I246:I248)</f>
        <v>1630</v>
      </c>
      <c r="K246" s="928"/>
    </row>
    <row r="247" spans="1:11" x14ac:dyDescent="0.25">
      <c r="A247" s="922"/>
      <c r="B247" s="923"/>
      <c r="C247" s="602" t="s">
        <v>3436</v>
      </c>
      <c r="D247" s="603" t="s">
        <v>1313</v>
      </c>
      <c r="E247" s="602">
        <v>36315436</v>
      </c>
      <c r="F247" s="602" t="s">
        <v>1312</v>
      </c>
      <c r="G247" s="608">
        <v>42736</v>
      </c>
      <c r="H247" s="607" t="s">
        <v>69</v>
      </c>
      <c r="I247" s="601">
        <v>1420</v>
      </c>
      <c r="J247" s="924"/>
      <c r="K247" s="928"/>
    </row>
    <row r="248" spans="1:11" x14ac:dyDescent="0.25">
      <c r="A248" s="922"/>
      <c r="B248" s="923"/>
      <c r="C248" s="602"/>
      <c r="D248" s="603"/>
      <c r="E248" s="602"/>
      <c r="F248" s="602"/>
      <c r="G248" s="618"/>
      <c r="H248" s="615"/>
      <c r="I248" s="609"/>
      <c r="J248" s="924"/>
      <c r="K248" s="928"/>
    </row>
    <row r="249" spans="1:11" x14ac:dyDescent="0.25">
      <c r="A249" s="610"/>
      <c r="B249" s="610"/>
      <c r="C249" s="611"/>
      <c r="D249" s="611"/>
      <c r="E249" s="611"/>
      <c r="F249" s="611"/>
      <c r="G249" s="611"/>
      <c r="H249" s="611"/>
      <c r="I249" s="611"/>
      <c r="J249" s="611"/>
      <c r="K249" s="928"/>
    </row>
    <row r="250" spans="1:11" x14ac:dyDescent="0.25">
      <c r="A250" s="922">
        <v>54</v>
      </c>
      <c r="B250" s="923" t="s">
        <v>1275</v>
      </c>
      <c r="C250" s="602" t="s">
        <v>1277</v>
      </c>
      <c r="D250" s="603"/>
      <c r="E250" s="602">
        <v>992150626</v>
      </c>
      <c r="F250" s="602" t="s">
        <v>1276</v>
      </c>
      <c r="G250" s="608">
        <v>42675</v>
      </c>
      <c r="H250" s="607" t="s">
        <v>69</v>
      </c>
      <c r="I250" s="601">
        <v>5150</v>
      </c>
      <c r="J250" s="924">
        <f>MEDIAN(I250:I252)</f>
        <v>6900</v>
      </c>
      <c r="K250" s="928"/>
    </row>
    <row r="251" spans="1:11" x14ac:dyDescent="0.25">
      <c r="A251" s="922"/>
      <c r="B251" s="923"/>
      <c r="C251" s="602" t="s">
        <v>1279</v>
      </c>
      <c r="D251" s="603"/>
      <c r="E251" s="602">
        <v>33584397</v>
      </c>
      <c r="F251" s="602" t="s">
        <v>1278</v>
      </c>
      <c r="G251" s="608">
        <v>42675</v>
      </c>
      <c r="H251" s="607" t="s">
        <v>69</v>
      </c>
      <c r="I251" s="601">
        <v>6900</v>
      </c>
      <c r="J251" s="924"/>
      <c r="K251" s="928"/>
    </row>
    <row r="252" spans="1:11" ht="24" x14ac:dyDescent="0.25">
      <c r="A252" s="922"/>
      <c r="B252" s="923"/>
      <c r="C252" s="637" t="s">
        <v>1281</v>
      </c>
      <c r="D252" s="603" t="s">
        <v>1282</v>
      </c>
      <c r="E252" s="602">
        <v>36374629</v>
      </c>
      <c r="F252" s="602" t="s">
        <v>1280</v>
      </c>
      <c r="G252" s="608">
        <v>42675</v>
      </c>
      <c r="H252" s="607" t="s">
        <v>69</v>
      </c>
      <c r="I252" s="601">
        <v>8430</v>
      </c>
      <c r="J252" s="924"/>
      <c r="K252" s="928"/>
    </row>
    <row r="253" spans="1:11" x14ac:dyDescent="0.25">
      <c r="A253" s="610"/>
      <c r="B253" s="610"/>
      <c r="C253" s="611"/>
      <c r="D253" s="611"/>
      <c r="E253" s="611"/>
      <c r="F253" s="611"/>
      <c r="G253" s="611"/>
      <c r="H253" s="611"/>
      <c r="I253" s="611"/>
      <c r="J253" s="611"/>
      <c r="K253" s="928"/>
    </row>
    <row r="254" spans="1:11" x14ac:dyDescent="0.25">
      <c r="A254" s="922">
        <v>190</v>
      </c>
      <c r="B254" s="923" t="s">
        <v>1229</v>
      </c>
      <c r="C254" s="638" t="s">
        <v>1231</v>
      </c>
      <c r="D254" s="635" t="s">
        <v>1232</v>
      </c>
      <c r="E254" s="634">
        <v>36251845</v>
      </c>
      <c r="F254" s="634" t="s">
        <v>1230</v>
      </c>
      <c r="G254" s="604">
        <v>42736</v>
      </c>
      <c r="H254" s="636" t="s">
        <v>69</v>
      </c>
      <c r="I254" s="616">
        <v>240</v>
      </c>
      <c r="J254" s="924">
        <f>MEDIAN(I254:I256)</f>
        <v>280</v>
      </c>
      <c r="K254" s="623"/>
    </row>
    <row r="255" spans="1:11" x14ac:dyDescent="0.25">
      <c r="A255" s="922"/>
      <c r="B255" s="923"/>
      <c r="C255" s="638" t="s">
        <v>1234</v>
      </c>
      <c r="D255" s="635" t="s">
        <v>1235</v>
      </c>
      <c r="E255" s="634">
        <v>33643885</v>
      </c>
      <c r="F255" s="634" t="s">
        <v>1233</v>
      </c>
      <c r="G255" s="604">
        <v>42736</v>
      </c>
      <c r="H255" s="636" t="s">
        <v>69</v>
      </c>
      <c r="I255" s="616">
        <v>310</v>
      </c>
      <c r="J255" s="924"/>
      <c r="K255" s="928"/>
    </row>
    <row r="256" spans="1:11" x14ac:dyDescent="0.25">
      <c r="A256" s="922"/>
      <c r="B256" s="923"/>
      <c r="C256" s="638" t="s">
        <v>1236</v>
      </c>
      <c r="D256" s="635" t="s">
        <v>1237</v>
      </c>
      <c r="E256" s="634">
        <v>36372827</v>
      </c>
      <c r="F256" s="634" t="s">
        <v>1187</v>
      </c>
      <c r="G256" s="604">
        <v>42736</v>
      </c>
      <c r="H256" s="636" t="s">
        <v>69</v>
      </c>
      <c r="I256" s="616">
        <v>280</v>
      </c>
      <c r="J256" s="924"/>
      <c r="K256" s="928"/>
    </row>
    <row r="257" spans="1:11" x14ac:dyDescent="0.25">
      <c r="A257" s="610"/>
      <c r="B257" s="610"/>
      <c r="C257" s="611"/>
      <c r="D257" s="611"/>
      <c r="E257" s="611"/>
      <c r="F257" s="611"/>
      <c r="G257" s="611"/>
      <c r="H257" s="611"/>
      <c r="I257" s="611"/>
      <c r="J257" s="611"/>
      <c r="K257" s="928"/>
    </row>
    <row r="258" spans="1:11" x14ac:dyDescent="0.25">
      <c r="A258" s="922">
        <v>145</v>
      </c>
      <c r="B258" s="923" t="s">
        <v>1353</v>
      </c>
      <c r="C258" s="602" t="s">
        <v>1356</v>
      </c>
      <c r="D258" s="603" t="s">
        <v>1357</v>
      </c>
      <c r="E258" s="602" t="s">
        <v>1355</v>
      </c>
      <c r="F258" s="614" t="s">
        <v>1354</v>
      </c>
      <c r="G258" s="618">
        <v>42795</v>
      </c>
      <c r="H258" s="615" t="s">
        <v>69</v>
      </c>
      <c r="I258" s="609">
        <v>941</v>
      </c>
      <c r="J258" s="924">
        <f>MEDIAN(I258:I260)</f>
        <v>941</v>
      </c>
      <c r="K258" s="928"/>
    </row>
    <row r="259" spans="1:11" x14ac:dyDescent="0.25">
      <c r="A259" s="922"/>
      <c r="B259" s="923"/>
      <c r="C259" s="602"/>
      <c r="D259" s="603"/>
      <c r="E259" s="602"/>
      <c r="F259" s="614"/>
      <c r="G259" s="618"/>
      <c r="H259" s="615"/>
      <c r="I259" s="601"/>
      <c r="J259" s="924"/>
      <c r="K259" s="928"/>
    </row>
    <row r="260" spans="1:11" x14ac:dyDescent="0.25">
      <c r="A260" s="922"/>
      <c r="B260" s="923"/>
      <c r="C260" s="602"/>
      <c r="D260" s="613"/>
      <c r="E260" s="614"/>
      <c r="F260" s="602"/>
      <c r="G260" s="618"/>
      <c r="H260" s="615"/>
      <c r="I260" s="601"/>
      <c r="J260" s="924"/>
      <c r="K260" s="928"/>
    </row>
    <row r="261" spans="1:11" x14ac:dyDescent="0.25">
      <c r="A261" s="610"/>
      <c r="B261" s="610"/>
      <c r="C261" s="611"/>
      <c r="D261" s="611"/>
      <c r="E261" s="611"/>
      <c r="F261" s="611"/>
      <c r="G261" s="611"/>
      <c r="H261" s="611"/>
      <c r="I261" s="611"/>
      <c r="J261" s="611"/>
      <c r="K261" s="928"/>
    </row>
    <row r="262" spans="1:11" x14ac:dyDescent="0.25">
      <c r="A262" s="922">
        <v>75</v>
      </c>
      <c r="B262" s="923" t="s">
        <v>1910</v>
      </c>
      <c r="C262" s="612" t="s">
        <v>1913</v>
      </c>
      <c r="D262" s="603" t="s">
        <v>1914</v>
      </c>
      <c r="E262" s="614" t="s">
        <v>1912</v>
      </c>
      <c r="F262" s="607" t="s">
        <v>1911</v>
      </c>
      <c r="G262" s="618">
        <v>42767</v>
      </c>
      <c r="H262" s="615" t="s">
        <v>69</v>
      </c>
      <c r="I262" s="609">
        <v>119.95</v>
      </c>
      <c r="J262" s="924">
        <f>MEDIAN(I262:I264)</f>
        <v>156.9</v>
      </c>
      <c r="K262" s="928"/>
    </row>
    <row r="263" spans="1:11" x14ac:dyDescent="0.25">
      <c r="A263" s="922"/>
      <c r="B263" s="923"/>
      <c r="C263" s="612" t="s">
        <v>1916</v>
      </c>
      <c r="D263" s="603" t="s">
        <v>1183</v>
      </c>
      <c r="E263" s="614" t="s">
        <v>1182</v>
      </c>
      <c r="F263" s="607" t="s">
        <v>1915</v>
      </c>
      <c r="G263" s="618">
        <v>42767</v>
      </c>
      <c r="H263" s="615" t="s">
        <v>69</v>
      </c>
      <c r="I263" s="609">
        <v>196.73</v>
      </c>
      <c r="J263" s="924"/>
      <c r="K263" s="928"/>
    </row>
    <row r="264" spans="1:11" x14ac:dyDescent="0.25">
      <c r="A264" s="922"/>
      <c r="B264" s="923"/>
      <c r="C264" s="612" t="s">
        <v>1180</v>
      </c>
      <c r="D264" s="603" t="s">
        <v>1181</v>
      </c>
      <c r="E264" s="614" t="s">
        <v>1179</v>
      </c>
      <c r="F264" s="607" t="s">
        <v>1917</v>
      </c>
      <c r="G264" s="618">
        <v>42767</v>
      </c>
      <c r="H264" s="615" t="s">
        <v>69</v>
      </c>
      <c r="I264" s="609">
        <v>156.9</v>
      </c>
      <c r="J264" s="924"/>
      <c r="K264" s="928"/>
    </row>
    <row r="265" spans="1:11" x14ac:dyDescent="0.25">
      <c r="A265" s="610"/>
      <c r="B265" s="610"/>
      <c r="C265" s="611"/>
      <c r="D265" s="611"/>
      <c r="E265" s="611"/>
      <c r="F265" s="611"/>
      <c r="G265" s="611"/>
      <c r="H265" s="611"/>
      <c r="I265" s="611"/>
      <c r="J265" s="611"/>
      <c r="K265" s="928"/>
    </row>
    <row r="266" spans="1:11" x14ac:dyDescent="0.25">
      <c r="A266" s="922">
        <v>162</v>
      </c>
      <c r="B266" s="923" t="s">
        <v>3437</v>
      </c>
      <c r="C266" s="612" t="s">
        <v>1186</v>
      </c>
      <c r="D266" s="613" t="s">
        <v>3438</v>
      </c>
      <c r="E266" s="614">
        <v>36533888</v>
      </c>
      <c r="F266" s="614" t="s">
        <v>1185</v>
      </c>
      <c r="G266" s="618">
        <v>42767</v>
      </c>
      <c r="H266" s="615" t="s">
        <v>69</v>
      </c>
      <c r="I266" s="609">
        <v>105</v>
      </c>
      <c r="J266" s="924">
        <f>MEDIAN(I266:I268)</f>
        <v>180</v>
      </c>
      <c r="K266" s="928"/>
    </row>
    <row r="267" spans="1:11" x14ac:dyDescent="0.25">
      <c r="A267" s="922"/>
      <c r="B267" s="923"/>
      <c r="C267" s="612" t="s">
        <v>1188</v>
      </c>
      <c r="D267" s="613" t="s">
        <v>1189</v>
      </c>
      <c r="E267" s="614" t="s">
        <v>3439</v>
      </c>
      <c r="F267" s="614" t="s">
        <v>1187</v>
      </c>
      <c r="G267" s="618">
        <v>42767</v>
      </c>
      <c r="H267" s="615" t="s">
        <v>69</v>
      </c>
      <c r="I267" s="609">
        <v>200</v>
      </c>
      <c r="J267" s="924"/>
      <c r="K267" s="928"/>
    </row>
    <row r="268" spans="1:11" x14ac:dyDescent="0.25">
      <c r="A268" s="922"/>
      <c r="B268" s="923"/>
      <c r="C268" s="612" t="s">
        <v>3440</v>
      </c>
      <c r="D268" s="613" t="s">
        <v>1203</v>
      </c>
      <c r="E268" s="614" t="s">
        <v>1924</v>
      </c>
      <c r="F268" s="614" t="s">
        <v>1923</v>
      </c>
      <c r="G268" s="618">
        <v>42767</v>
      </c>
      <c r="H268" s="615" t="s">
        <v>69</v>
      </c>
      <c r="I268" s="609">
        <v>180</v>
      </c>
      <c r="J268" s="924"/>
      <c r="K268" s="928"/>
    </row>
    <row r="269" spans="1:11" x14ac:dyDescent="0.25">
      <c r="A269" s="610"/>
      <c r="B269" s="610"/>
      <c r="C269" s="611"/>
      <c r="D269" s="611"/>
      <c r="E269" s="611"/>
      <c r="F269" s="611"/>
      <c r="G269" s="611"/>
      <c r="H269" s="611"/>
      <c r="I269" s="611"/>
      <c r="J269" s="611"/>
      <c r="K269" s="928"/>
    </row>
    <row r="270" spans="1:11" x14ac:dyDescent="0.25">
      <c r="A270" s="922">
        <v>189</v>
      </c>
      <c r="B270" s="923" t="s">
        <v>1918</v>
      </c>
      <c r="C270" s="612" t="s">
        <v>1921</v>
      </c>
      <c r="D270" s="613" t="s">
        <v>1922</v>
      </c>
      <c r="E270" s="614" t="s">
        <v>1920</v>
      </c>
      <c r="F270" s="614" t="s">
        <v>1919</v>
      </c>
      <c r="G270" s="618">
        <v>42767</v>
      </c>
      <c r="H270" s="615" t="s">
        <v>69</v>
      </c>
      <c r="I270" s="609">
        <v>3600</v>
      </c>
      <c r="J270" s="924">
        <f>MEDIAN(I270:I272)</f>
        <v>2250</v>
      </c>
      <c r="K270" s="928"/>
    </row>
    <row r="271" spans="1:11" x14ac:dyDescent="0.25">
      <c r="A271" s="922"/>
      <c r="B271" s="923"/>
      <c r="C271" s="638" t="s">
        <v>1925</v>
      </c>
      <c r="D271" s="635" t="s">
        <v>1926</v>
      </c>
      <c r="E271" s="638" t="s">
        <v>1924</v>
      </c>
      <c r="F271" s="638" t="s">
        <v>1923</v>
      </c>
      <c r="G271" s="604">
        <v>42767</v>
      </c>
      <c r="H271" s="636" t="s">
        <v>69</v>
      </c>
      <c r="I271" s="616">
        <v>2250</v>
      </c>
      <c r="J271" s="924"/>
      <c r="K271" s="928"/>
    </row>
    <row r="272" spans="1:11" x14ac:dyDescent="0.25">
      <c r="A272" s="922"/>
      <c r="B272" s="923"/>
      <c r="C272" s="638" t="s">
        <v>1929</v>
      </c>
      <c r="D272" s="635" t="s">
        <v>1930</v>
      </c>
      <c r="E272" s="634" t="s">
        <v>1928</v>
      </c>
      <c r="F272" s="634" t="s">
        <v>1927</v>
      </c>
      <c r="G272" s="604">
        <v>42767</v>
      </c>
      <c r="H272" s="636" t="s">
        <v>69</v>
      </c>
      <c r="I272" s="616">
        <v>1800</v>
      </c>
      <c r="J272" s="924"/>
      <c r="K272" s="928"/>
    </row>
    <row r="273" spans="1:11" x14ac:dyDescent="0.25">
      <c r="A273" s="610"/>
      <c r="B273" s="610"/>
      <c r="C273" s="611"/>
      <c r="D273" s="611"/>
      <c r="E273" s="611"/>
      <c r="F273" s="611"/>
      <c r="G273" s="611"/>
      <c r="H273" s="611"/>
      <c r="I273" s="611"/>
      <c r="J273" s="611"/>
      <c r="K273" s="623"/>
    </row>
    <row r="274" spans="1:11" x14ac:dyDescent="0.25">
      <c r="A274" s="922">
        <v>248</v>
      </c>
      <c r="B274" s="923" t="s">
        <v>2583</v>
      </c>
      <c r="C274" s="602" t="s">
        <v>2584</v>
      </c>
      <c r="D274" s="603" t="s">
        <v>2585</v>
      </c>
      <c r="E274" s="602">
        <v>92786775</v>
      </c>
      <c r="F274" s="602" t="s">
        <v>1641</v>
      </c>
      <c r="G274" s="608">
        <v>42767</v>
      </c>
      <c r="H274" s="607" t="s">
        <v>69</v>
      </c>
      <c r="I274" s="609">
        <v>1400</v>
      </c>
      <c r="J274" s="924">
        <f>MEDIAN(I274:I276)</f>
        <v>1400</v>
      </c>
      <c r="K274" s="928"/>
    </row>
    <row r="275" spans="1:11" x14ac:dyDescent="0.25">
      <c r="A275" s="922"/>
      <c r="B275" s="923"/>
      <c r="C275" s="602" t="s">
        <v>2587</v>
      </c>
      <c r="D275" s="603" t="s">
        <v>1167</v>
      </c>
      <c r="E275" s="602">
        <v>36532049</v>
      </c>
      <c r="F275" s="602" t="s">
        <v>2586</v>
      </c>
      <c r="G275" s="608">
        <v>42767</v>
      </c>
      <c r="H275" s="607" t="s">
        <v>69</v>
      </c>
      <c r="I275" s="609">
        <v>450</v>
      </c>
      <c r="J275" s="924"/>
      <c r="K275" s="928"/>
    </row>
    <row r="276" spans="1:11" x14ac:dyDescent="0.25">
      <c r="A276" s="922"/>
      <c r="B276" s="923"/>
      <c r="C276" s="602" t="s">
        <v>2588</v>
      </c>
      <c r="D276" s="603" t="s">
        <v>2589</v>
      </c>
      <c r="E276" s="602">
        <v>84589142</v>
      </c>
      <c r="F276" s="602" t="s">
        <v>2128</v>
      </c>
      <c r="G276" s="608">
        <v>42767</v>
      </c>
      <c r="H276" s="607" t="s">
        <v>69</v>
      </c>
      <c r="I276" s="609">
        <v>1470</v>
      </c>
      <c r="J276" s="924"/>
      <c r="K276" s="928"/>
    </row>
    <row r="277" spans="1:11" x14ac:dyDescent="0.25">
      <c r="A277" s="610"/>
      <c r="B277" s="610"/>
      <c r="C277" s="611"/>
      <c r="D277" s="611"/>
      <c r="E277" s="611"/>
      <c r="F277" s="611"/>
      <c r="G277" s="611"/>
      <c r="H277" s="611"/>
      <c r="I277" s="611"/>
      <c r="J277" s="611"/>
      <c r="K277" s="928"/>
    </row>
    <row r="278" spans="1:11" x14ac:dyDescent="0.25">
      <c r="A278" s="922">
        <v>168</v>
      </c>
      <c r="B278" s="923" t="s">
        <v>2600</v>
      </c>
      <c r="C278" s="602" t="s">
        <v>1201</v>
      </c>
      <c r="D278" s="603" t="s">
        <v>1189</v>
      </c>
      <c r="E278" s="602">
        <v>33226142</v>
      </c>
      <c r="F278" s="602" t="s">
        <v>1200</v>
      </c>
      <c r="G278" s="608">
        <v>42795</v>
      </c>
      <c r="H278" s="607" t="s">
        <v>69</v>
      </c>
      <c r="I278" s="609">
        <v>4800</v>
      </c>
      <c r="J278" s="924">
        <f>MEDIAN(I278:I280)</f>
        <v>3545</v>
      </c>
      <c r="K278" s="928"/>
    </row>
    <row r="279" spans="1:11" x14ac:dyDescent="0.25">
      <c r="A279" s="922"/>
      <c r="B279" s="923"/>
      <c r="C279" s="602" t="s">
        <v>2597</v>
      </c>
      <c r="D279" s="603" t="s">
        <v>2598</v>
      </c>
      <c r="E279" s="602" t="s">
        <v>2603</v>
      </c>
      <c r="F279" s="602" t="s">
        <v>2602</v>
      </c>
      <c r="G279" s="608">
        <v>42795</v>
      </c>
      <c r="H279" s="607" t="s">
        <v>69</v>
      </c>
      <c r="I279" s="609">
        <v>2290</v>
      </c>
      <c r="J279" s="924"/>
      <c r="K279" s="928"/>
    </row>
    <row r="280" spans="1:11" x14ac:dyDescent="0.25">
      <c r="A280" s="922"/>
      <c r="B280" s="923"/>
      <c r="C280" s="602"/>
      <c r="D280" s="603"/>
      <c r="E280" s="602"/>
      <c r="F280" s="602"/>
      <c r="G280" s="608"/>
      <c r="H280" s="607"/>
      <c r="I280" s="609"/>
      <c r="J280" s="924"/>
      <c r="K280" s="928"/>
    </row>
    <row r="281" spans="1:11" x14ac:dyDescent="0.25">
      <c r="A281" s="610"/>
      <c r="B281" s="610"/>
      <c r="C281" s="611"/>
      <c r="D281" s="611"/>
      <c r="E281" s="611"/>
      <c r="F281" s="611"/>
      <c r="G281" s="611"/>
      <c r="H281" s="611"/>
      <c r="I281" s="611"/>
      <c r="J281" s="611"/>
      <c r="K281" s="619"/>
    </row>
    <row r="282" spans="1:11" x14ac:dyDescent="0.25">
      <c r="A282" s="922">
        <v>252</v>
      </c>
      <c r="B282" s="923" t="s">
        <v>2644</v>
      </c>
      <c r="C282" s="602" t="s">
        <v>3441</v>
      </c>
      <c r="D282" s="603" t="s">
        <v>2646</v>
      </c>
      <c r="E282" s="602" t="s">
        <v>2645</v>
      </c>
      <c r="F282" s="602" t="s">
        <v>3442</v>
      </c>
      <c r="G282" s="608">
        <v>42675</v>
      </c>
      <c r="H282" s="607" t="s">
        <v>69</v>
      </c>
      <c r="I282" s="609">
        <v>2.5</v>
      </c>
      <c r="J282" s="924">
        <f>MEDIAN(I282:I284)</f>
        <v>3</v>
      </c>
      <c r="K282" s="928"/>
    </row>
    <row r="283" spans="1:11" x14ac:dyDescent="0.25">
      <c r="A283" s="922"/>
      <c r="B283" s="923"/>
      <c r="C283" s="602" t="s">
        <v>3443</v>
      </c>
      <c r="D283" s="603" t="s">
        <v>2647</v>
      </c>
      <c r="E283" s="602"/>
      <c r="F283" s="602"/>
      <c r="G283" s="608">
        <v>42675</v>
      </c>
      <c r="H283" s="607" t="s">
        <v>69</v>
      </c>
      <c r="I283" s="609">
        <v>3</v>
      </c>
      <c r="J283" s="924"/>
      <c r="K283" s="928"/>
    </row>
    <row r="284" spans="1:11" x14ac:dyDescent="0.25">
      <c r="A284" s="922"/>
      <c r="B284" s="923"/>
      <c r="C284" s="602" t="s">
        <v>2649</v>
      </c>
      <c r="D284" s="603" t="s">
        <v>2650</v>
      </c>
      <c r="E284" s="602" t="s">
        <v>2648</v>
      </c>
      <c r="F284" s="602"/>
      <c r="G284" s="608">
        <v>42675</v>
      </c>
      <c r="H284" s="607" t="s">
        <v>69</v>
      </c>
      <c r="I284" s="609">
        <v>4</v>
      </c>
      <c r="J284" s="924"/>
      <c r="K284" s="928"/>
    </row>
    <row r="285" spans="1:11" x14ac:dyDescent="0.25">
      <c r="A285" s="610"/>
      <c r="B285" s="610"/>
      <c r="C285" s="611"/>
      <c r="D285" s="611"/>
      <c r="E285" s="611"/>
      <c r="F285" s="611"/>
      <c r="G285" s="611"/>
      <c r="H285" s="611"/>
      <c r="I285" s="611"/>
      <c r="J285" s="611"/>
      <c r="K285" s="619"/>
    </row>
    <row r="286" spans="1:11" x14ac:dyDescent="0.25">
      <c r="A286" s="922">
        <v>284</v>
      </c>
      <c r="B286" s="923" t="s">
        <v>3444</v>
      </c>
      <c r="C286" s="602" t="s">
        <v>3389</v>
      </c>
      <c r="D286" s="603"/>
      <c r="E286" s="602" t="s">
        <v>3390</v>
      </c>
      <c r="F286" s="602" t="s">
        <v>3391</v>
      </c>
      <c r="G286" s="608"/>
      <c r="H286" s="607" t="s">
        <v>56</v>
      </c>
      <c r="I286" s="609">
        <v>280</v>
      </c>
      <c r="J286" s="924">
        <f>MEDIAN(I286:I288)</f>
        <v>280</v>
      </c>
      <c r="K286" s="931"/>
    </row>
    <row r="287" spans="1:11" x14ac:dyDescent="0.25">
      <c r="A287" s="922"/>
      <c r="B287" s="923"/>
      <c r="C287" s="602" t="s">
        <v>2587</v>
      </c>
      <c r="D287" s="603" t="s">
        <v>1167</v>
      </c>
      <c r="E287" s="602" t="s">
        <v>3392</v>
      </c>
      <c r="F287" s="602"/>
      <c r="G287" s="608"/>
      <c r="H287" s="607" t="s">
        <v>56</v>
      </c>
      <c r="I287" s="609">
        <v>960</v>
      </c>
      <c r="J287" s="924"/>
      <c r="K287" s="931"/>
    </row>
    <row r="288" spans="1:11" x14ac:dyDescent="0.25">
      <c r="A288" s="922"/>
      <c r="B288" s="923"/>
      <c r="C288" s="602" t="s">
        <v>2548</v>
      </c>
      <c r="D288" s="603" t="s">
        <v>1249</v>
      </c>
      <c r="E288" s="602" t="s">
        <v>1247</v>
      </c>
      <c r="F288" s="602"/>
      <c r="G288" s="608"/>
      <c r="H288" s="607" t="s">
        <v>56</v>
      </c>
      <c r="I288" s="609">
        <v>150</v>
      </c>
      <c r="J288" s="924"/>
      <c r="K288" s="931"/>
    </row>
    <row r="289" spans="1:11" x14ac:dyDescent="0.25">
      <c r="A289" s="610"/>
      <c r="B289" s="610"/>
      <c r="C289" s="611"/>
      <c r="D289" s="611"/>
      <c r="E289" s="611"/>
      <c r="F289" s="611"/>
      <c r="G289" s="611"/>
      <c r="H289" s="611"/>
      <c r="I289" s="611"/>
      <c r="J289" s="611"/>
      <c r="K289" s="619"/>
    </row>
    <row r="290" spans="1:11" x14ac:dyDescent="0.25">
      <c r="A290" s="922">
        <v>187</v>
      </c>
      <c r="B290" s="926" t="s">
        <v>1512</v>
      </c>
      <c r="C290" s="614" t="s">
        <v>1514</v>
      </c>
      <c r="D290" s="613" t="s">
        <v>1390</v>
      </c>
      <c r="E290" s="614" t="s">
        <v>1388</v>
      </c>
      <c r="F290" s="614" t="s">
        <v>1513</v>
      </c>
      <c r="G290" s="608">
        <v>42795</v>
      </c>
      <c r="H290" s="615" t="s">
        <v>69</v>
      </c>
      <c r="I290" s="609">
        <v>32.5</v>
      </c>
      <c r="J290" s="924">
        <f>MEDIAN(I290:I292)</f>
        <v>16.440000000000001</v>
      </c>
      <c r="K290" s="928"/>
    </row>
    <row r="291" spans="1:11" x14ac:dyDescent="0.25">
      <c r="A291" s="922"/>
      <c r="B291" s="926"/>
      <c r="C291" s="614" t="s">
        <v>1268</v>
      </c>
      <c r="D291" s="613" t="s">
        <v>1269</v>
      </c>
      <c r="E291" s="614" t="s">
        <v>1267</v>
      </c>
      <c r="F291" s="614" t="s">
        <v>1266</v>
      </c>
      <c r="G291" s="608">
        <v>42795</v>
      </c>
      <c r="H291" s="615" t="s">
        <v>69</v>
      </c>
      <c r="I291" s="609">
        <v>16.440000000000001</v>
      </c>
      <c r="J291" s="924"/>
      <c r="K291" s="928"/>
    </row>
    <row r="292" spans="1:11" x14ac:dyDescent="0.25">
      <c r="A292" s="922"/>
      <c r="B292" s="926"/>
      <c r="C292" s="614" t="s">
        <v>1497</v>
      </c>
      <c r="D292" s="613" t="s">
        <v>1506</v>
      </c>
      <c r="E292" s="614" t="s">
        <v>1505</v>
      </c>
      <c r="F292" s="614" t="s">
        <v>1164</v>
      </c>
      <c r="G292" s="608">
        <v>42795</v>
      </c>
      <c r="H292" s="615" t="s">
        <v>69</v>
      </c>
      <c r="I292" s="609">
        <v>6.75</v>
      </c>
      <c r="J292" s="924"/>
      <c r="K292" s="928"/>
    </row>
    <row r="293" spans="1:11" x14ac:dyDescent="0.25">
      <c r="A293" s="930"/>
      <c r="B293" s="930"/>
      <c r="C293" s="930"/>
      <c r="D293" s="930"/>
      <c r="E293" s="930"/>
      <c r="F293" s="930"/>
      <c r="G293" s="930"/>
      <c r="H293" s="930"/>
      <c r="I293" s="930"/>
      <c r="J293" s="930"/>
      <c r="K293" s="619"/>
    </row>
    <row r="294" spans="1:11" x14ac:dyDescent="0.25">
      <c r="A294" s="922">
        <v>188</v>
      </c>
      <c r="B294" s="926" t="s">
        <v>1517</v>
      </c>
      <c r="C294" s="602" t="s">
        <v>1519</v>
      </c>
      <c r="D294" s="603" t="s">
        <v>1498</v>
      </c>
      <c r="E294" s="602">
        <v>36345253</v>
      </c>
      <c r="F294" s="602" t="s">
        <v>1518</v>
      </c>
      <c r="G294" s="608">
        <v>42795</v>
      </c>
      <c r="H294" s="607" t="s">
        <v>69</v>
      </c>
      <c r="I294" s="601">
        <v>6.75</v>
      </c>
      <c r="J294" s="924">
        <f>MEDIAN(I294:I296)</f>
        <v>14.87</v>
      </c>
      <c r="K294" s="928"/>
    </row>
    <row r="295" spans="1:11" x14ac:dyDescent="0.25">
      <c r="A295" s="922"/>
      <c r="B295" s="926"/>
      <c r="C295" s="602" t="s">
        <v>1521</v>
      </c>
      <c r="D295" s="603" t="s">
        <v>1390</v>
      </c>
      <c r="E295" s="602">
        <v>33210009</v>
      </c>
      <c r="F295" s="602" t="s">
        <v>1520</v>
      </c>
      <c r="G295" s="608">
        <v>42795</v>
      </c>
      <c r="H295" s="607" t="s">
        <v>69</v>
      </c>
      <c r="I295" s="601">
        <v>14.87</v>
      </c>
      <c r="J295" s="924"/>
      <c r="K295" s="928"/>
    </row>
    <row r="296" spans="1:11" x14ac:dyDescent="0.25">
      <c r="A296" s="922"/>
      <c r="B296" s="926"/>
      <c r="C296" s="602" t="s">
        <v>1523</v>
      </c>
      <c r="D296" s="603" t="s">
        <v>1269</v>
      </c>
      <c r="E296" s="602">
        <v>33883800</v>
      </c>
      <c r="F296" s="602" t="s">
        <v>1522</v>
      </c>
      <c r="G296" s="608">
        <v>42795</v>
      </c>
      <c r="H296" s="607" t="s">
        <v>69</v>
      </c>
      <c r="I296" s="601">
        <v>16.440000000000001</v>
      </c>
      <c r="J296" s="924"/>
      <c r="K296" s="928"/>
    </row>
    <row r="297" spans="1:11" x14ac:dyDescent="0.25">
      <c r="A297" s="610"/>
      <c r="B297" s="610"/>
      <c r="C297" s="611"/>
      <c r="D297" s="611"/>
      <c r="E297" s="611"/>
      <c r="F297" s="611"/>
      <c r="G297" s="611"/>
      <c r="H297" s="611"/>
      <c r="I297" s="611"/>
      <c r="J297" s="611"/>
      <c r="K297" s="619"/>
    </row>
    <row r="298" spans="1:11" x14ac:dyDescent="0.25">
      <c r="A298" s="922">
        <v>57</v>
      </c>
      <c r="B298" s="929" t="s">
        <v>1525</v>
      </c>
      <c r="C298" s="602" t="s">
        <v>1523</v>
      </c>
      <c r="D298" s="603" t="s">
        <v>1269</v>
      </c>
      <c r="E298" s="602">
        <v>33883800</v>
      </c>
      <c r="F298" s="602" t="s">
        <v>1522</v>
      </c>
      <c r="G298" s="608">
        <v>42795</v>
      </c>
      <c r="H298" s="607" t="s">
        <v>69</v>
      </c>
      <c r="I298" s="601">
        <v>70.58</v>
      </c>
      <c r="J298" s="924">
        <f>MEDIAN(I298:I300)</f>
        <v>63.63</v>
      </c>
      <c r="K298" s="928"/>
    </row>
    <row r="299" spans="1:11" x14ac:dyDescent="0.25">
      <c r="A299" s="922"/>
      <c r="B299" s="929"/>
      <c r="C299" s="602" t="s">
        <v>1519</v>
      </c>
      <c r="D299" s="603" t="s">
        <v>1498</v>
      </c>
      <c r="E299" s="602">
        <v>36345253</v>
      </c>
      <c r="F299" s="602" t="s">
        <v>1518</v>
      </c>
      <c r="G299" s="608">
        <v>42795</v>
      </c>
      <c r="H299" s="607" t="s">
        <v>69</v>
      </c>
      <c r="I299" s="601">
        <v>63.63</v>
      </c>
      <c r="J299" s="924"/>
      <c r="K299" s="928"/>
    </row>
    <row r="300" spans="1:11" x14ac:dyDescent="0.25">
      <c r="A300" s="922"/>
      <c r="B300" s="929"/>
      <c r="C300" s="602" t="s">
        <v>1521</v>
      </c>
      <c r="D300" s="603" t="s">
        <v>1390</v>
      </c>
      <c r="E300" s="602">
        <v>33210009</v>
      </c>
      <c r="F300" s="602" t="s">
        <v>1520</v>
      </c>
      <c r="G300" s="608">
        <v>42795</v>
      </c>
      <c r="H300" s="607" t="s">
        <v>69</v>
      </c>
      <c r="I300" s="601">
        <v>33.21</v>
      </c>
      <c r="J300" s="924"/>
      <c r="K300" s="928"/>
    </row>
    <row r="301" spans="1:11" x14ac:dyDescent="0.25">
      <c r="A301" s="620"/>
      <c r="B301" s="620"/>
      <c r="C301" s="621"/>
      <c r="D301" s="621"/>
      <c r="E301" s="621"/>
      <c r="F301" s="621"/>
      <c r="G301" s="621"/>
      <c r="H301" s="621"/>
      <c r="I301" s="621"/>
      <c r="J301" s="621"/>
      <c r="K301" s="619"/>
    </row>
    <row r="302" spans="1:11" x14ac:dyDescent="0.25">
      <c r="A302" s="922">
        <v>206</v>
      </c>
      <c r="B302" s="926" t="s">
        <v>1527</v>
      </c>
      <c r="C302" s="602" t="s">
        <v>1523</v>
      </c>
      <c r="D302" s="603" t="s">
        <v>1269</v>
      </c>
      <c r="E302" s="602">
        <v>33883800</v>
      </c>
      <c r="F302" s="602" t="s">
        <v>1522</v>
      </c>
      <c r="G302" s="608">
        <v>42795</v>
      </c>
      <c r="H302" s="607" t="s">
        <v>69</v>
      </c>
      <c r="I302" s="601">
        <v>16.920000000000002</v>
      </c>
      <c r="J302" s="924">
        <f>MEDIAN(I302:I304)</f>
        <v>20.13</v>
      </c>
      <c r="K302" s="928"/>
    </row>
    <row r="303" spans="1:11" x14ac:dyDescent="0.25">
      <c r="A303" s="922"/>
      <c r="B303" s="926"/>
      <c r="C303" s="602" t="s">
        <v>1519</v>
      </c>
      <c r="D303" s="603" t="s">
        <v>1498</v>
      </c>
      <c r="E303" s="602">
        <v>36345253</v>
      </c>
      <c r="F303" s="602" t="s">
        <v>1518</v>
      </c>
      <c r="G303" s="608">
        <v>42795</v>
      </c>
      <c r="H303" s="607" t="s">
        <v>69</v>
      </c>
      <c r="I303" s="601">
        <v>20.13</v>
      </c>
      <c r="J303" s="924"/>
      <c r="K303" s="928"/>
    </row>
    <row r="304" spans="1:11" x14ac:dyDescent="0.25">
      <c r="A304" s="922"/>
      <c r="B304" s="926"/>
      <c r="C304" s="602" t="s">
        <v>1521</v>
      </c>
      <c r="D304" s="603" t="s">
        <v>1390</v>
      </c>
      <c r="E304" s="602">
        <v>33210009</v>
      </c>
      <c r="F304" s="602" t="s">
        <v>1520</v>
      </c>
      <c r="G304" s="608">
        <v>42795</v>
      </c>
      <c r="H304" s="607" t="s">
        <v>69</v>
      </c>
      <c r="I304" s="601">
        <v>22.18</v>
      </c>
      <c r="J304" s="924"/>
      <c r="K304" s="928"/>
    </row>
    <row r="305" spans="1:11" x14ac:dyDescent="0.25">
      <c r="A305" s="610"/>
      <c r="B305" s="610"/>
      <c r="C305" s="611"/>
      <c r="D305" s="611"/>
      <c r="E305" s="611"/>
      <c r="F305" s="611"/>
      <c r="G305" s="611"/>
      <c r="H305" s="611"/>
      <c r="I305" s="611"/>
      <c r="J305" s="611"/>
      <c r="K305" s="619"/>
    </row>
    <row r="306" spans="1:11" x14ac:dyDescent="0.25">
      <c r="A306" s="922">
        <v>113</v>
      </c>
      <c r="B306" s="926" t="s">
        <v>1530</v>
      </c>
      <c r="C306" s="602" t="s">
        <v>1519</v>
      </c>
      <c r="D306" s="603" t="s">
        <v>1498</v>
      </c>
      <c r="E306" s="602">
        <v>36345253</v>
      </c>
      <c r="F306" s="602" t="s">
        <v>1518</v>
      </c>
      <c r="G306" s="608">
        <v>42795</v>
      </c>
      <c r="H306" s="607" t="s">
        <v>69</v>
      </c>
      <c r="I306" s="601">
        <v>414.33</v>
      </c>
      <c r="J306" s="924">
        <f>MEDIAN(I306:I308)</f>
        <v>578.96</v>
      </c>
      <c r="K306" s="928"/>
    </row>
    <row r="307" spans="1:11" x14ac:dyDescent="0.25">
      <c r="A307" s="922"/>
      <c r="B307" s="926"/>
      <c r="C307" s="602" t="s">
        <v>1521</v>
      </c>
      <c r="D307" s="603" t="s">
        <v>1390</v>
      </c>
      <c r="E307" s="602">
        <v>33210009</v>
      </c>
      <c r="F307" s="602" t="s">
        <v>1520</v>
      </c>
      <c r="G307" s="608">
        <v>42795</v>
      </c>
      <c r="H307" s="607" t="s">
        <v>69</v>
      </c>
      <c r="I307" s="601">
        <v>578.96</v>
      </c>
      <c r="J307" s="924"/>
      <c r="K307" s="928"/>
    </row>
    <row r="308" spans="1:11" x14ac:dyDescent="0.25">
      <c r="A308" s="922"/>
      <c r="B308" s="926"/>
      <c r="C308" s="602" t="s">
        <v>1523</v>
      </c>
      <c r="D308" s="603" t="s">
        <v>1269</v>
      </c>
      <c r="E308" s="602">
        <v>33883800</v>
      </c>
      <c r="F308" s="602" t="s">
        <v>1522</v>
      </c>
      <c r="G308" s="608">
        <v>42795</v>
      </c>
      <c r="H308" s="607" t="s">
        <v>69</v>
      </c>
      <c r="I308" s="601">
        <v>770.67</v>
      </c>
      <c r="J308" s="924"/>
      <c r="K308" s="928"/>
    </row>
    <row r="309" spans="1:11" x14ac:dyDescent="0.25">
      <c r="A309" s="610"/>
      <c r="B309" s="610"/>
      <c r="C309" s="611"/>
      <c r="D309" s="611"/>
      <c r="E309" s="611"/>
      <c r="F309" s="611"/>
      <c r="G309" s="611"/>
      <c r="H309" s="611"/>
      <c r="I309" s="611"/>
      <c r="J309" s="611"/>
      <c r="K309" s="619"/>
    </row>
    <row r="310" spans="1:11" x14ac:dyDescent="0.25">
      <c r="A310" s="922">
        <v>79</v>
      </c>
      <c r="B310" s="926" t="s">
        <v>1532</v>
      </c>
      <c r="C310" s="602" t="s">
        <v>1519</v>
      </c>
      <c r="D310" s="603" t="s">
        <v>1498</v>
      </c>
      <c r="E310" s="602">
        <v>36345253</v>
      </c>
      <c r="F310" s="602" t="s">
        <v>1518</v>
      </c>
      <c r="G310" s="608">
        <v>42795</v>
      </c>
      <c r="H310" s="607" t="s">
        <v>69</v>
      </c>
      <c r="I310" s="601">
        <v>77.989999999999995</v>
      </c>
      <c r="J310" s="924">
        <f>MEDIAN(I310:I312)</f>
        <v>121.71</v>
      </c>
      <c r="K310" s="928"/>
    </row>
    <row r="311" spans="1:11" x14ac:dyDescent="0.25">
      <c r="A311" s="922"/>
      <c r="B311" s="926"/>
      <c r="C311" s="602" t="s">
        <v>1521</v>
      </c>
      <c r="D311" s="603" t="s">
        <v>1390</v>
      </c>
      <c r="E311" s="602">
        <v>33210009</v>
      </c>
      <c r="F311" s="602" t="s">
        <v>1520</v>
      </c>
      <c r="G311" s="608">
        <v>42795</v>
      </c>
      <c r="H311" s="607" t="s">
        <v>69</v>
      </c>
      <c r="I311" s="601">
        <v>135.97999999999999</v>
      </c>
      <c r="J311" s="924"/>
      <c r="K311" s="928"/>
    </row>
    <row r="312" spans="1:11" x14ac:dyDescent="0.25">
      <c r="A312" s="922"/>
      <c r="B312" s="926"/>
      <c r="C312" s="602" t="s">
        <v>1523</v>
      </c>
      <c r="D312" s="603" t="s">
        <v>1269</v>
      </c>
      <c r="E312" s="602">
        <v>33883800</v>
      </c>
      <c r="F312" s="602" t="s">
        <v>1522</v>
      </c>
      <c r="G312" s="608">
        <v>42795</v>
      </c>
      <c r="H312" s="607" t="s">
        <v>69</v>
      </c>
      <c r="I312" s="601">
        <v>121.71</v>
      </c>
      <c r="J312" s="924"/>
      <c r="K312" s="928"/>
    </row>
    <row r="313" spans="1:11" x14ac:dyDescent="0.25">
      <c r="A313" s="610"/>
      <c r="B313" s="610"/>
      <c r="C313" s="611"/>
      <c r="D313" s="611"/>
      <c r="E313" s="611"/>
      <c r="F313" s="611"/>
      <c r="G313" s="611"/>
      <c r="H313" s="611"/>
      <c r="I313" s="611"/>
      <c r="J313" s="611"/>
      <c r="K313" s="619"/>
    </row>
    <row r="314" spans="1:11" x14ac:dyDescent="0.25">
      <c r="A314" s="922">
        <v>246</v>
      </c>
      <c r="B314" s="926" t="s">
        <v>3445</v>
      </c>
      <c r="C314" s="634" t="s">
        <v>1519</v>
      </c>
      <c r="D314" s="635" t="s">
        <v>1498</v>
      </c>
      <c r="E314" s="634">
        <v>36341717</v>
      </c>
      <c r="F314" s="634" t="s">
        <v>3446</v>
      </c>
      <c r="G314" s="604">
        <v>42795</v>
      </c>
      <c r="H314" s="636" t="s">
        <v>69</v>
      </c>
      <c r="I314" s="616">
        <v>30.83</v>
      </c>
      <c r="J314" s="924">
        <f>MEDIAN(I314:I316)</f>
        <v>41.21</v>
      </c>
      <c r="K314" s="927"/>
    </row>
    <row r="315" spans="1:11" x14ac:dyDescent="0.25">
      <c r="A315" s="922"/>
      <c r="B315" s="926"/>
      <c r="C315" s="634" t="s">
        <v>1521</v>
      </c>
      <c r="D315" s="635" t="s">
        <v>1390</v>
      </c>
      <c r="E315" s="634">
        <v>33210009</v>
      </c>
      <c r="F315" s="634" t="s">
        <v>1520</v>
      </c>
      <c r="G315" s="604">
        <v>42795</v>
      </c>
      <c r="H315" s="636" t="s">
        <v>69</v>
      </c>
      <c r="I315" s="616">
        <v>41.21</v>
      </c>
      <c r="J315" s="924"/>
      <c r="K315" s="927"/>
    </row>
    <row r="316" spans="1:11" ht="24" x14ac:dyDescent="0.25">
      <c r="A316" s="922"/>
      <c r="B316" s="926"/>
      <c r="C316" s="612" t="s">
        <v>1366</v>
      </c>
      <c r="D316" s="613" t="s">
        <v>1265</v>
      </c>
      <c r="E316" s="614">
        <v>30279000</v>
      </c>
      <c r="F316" s="602" t="s">
        <v>1365</v>
      </c>
      <c r="G316" s="604">
        <v>42795</v>
      </c>
      <c r="H316" s="615" t="s">
        <v>69</v>
      </c>
      <c r="I316" s="609">
        <v>50</v>
      </c>
      <c r="J316" s="924"/>
      <c r="K316" s="927"/>
    </row>
    <row r="317" spans="1:11" x14ac:dyDescent="0.25">
      <c r="A317" s="610"/>
      <c r="B317" s="610"/>
      <c r="C317" s="611"/>
      <c r="D317" s="611"/>
      <c r="E317" s="611"/>
      <c r="F317" s="611"/>
      <c r="G317" s="611"/>
      <c r="H317" s="611"/>
      <c r="I317" s="611"/>
      <c r="J317" s="611"/>
      <c r="K317" s="619"/>
    </row>
    <row r="318" spans="1:11" s="617" customFormat="1" ht="12.75" x14ac:dyDescent="0.2">
      <c r="A318" s="922">
        <v>83</v>
      </c>
      <c r="B318" s="923" t="s">
        <v>1645</v>
      </c>
      <c r="C318" s="624" t="s">
        <v>1484</v>
      </c>
      <c r="D318" s="613" t="s">
        <v>1369</v>
      </c>
      <c r="E318" s="614" t="s">
        <v>3447</v>
      </c>
      <c r="F318" s="614" t="s">
        <v>1178</v>
      </c>
      <c r="G318" s="608" t="s">
        <v>3448</v>
      </c>
      <c r="H318" s="607" t="s">
        <v>69</v>
      </c>
      <c r="I318" s="601">
        <v>4.3099999999999996</v>
      </c>
      <c r="J318" s="924">
        <f>MEDIAN(I318:I320)</f>
        <v>4.3099999999999996</v>
      </c>
      <c r="K318" s="925"/>
    </row>
    <row r="319" spans="1:11" s="617" customFormat="1" ht="24" x14ac:dyDescent="0.2">
      <c r="A319" s="922"/>
      <c r="B319" s="923"/>
      <c r="C319" s="624" t="s">
        <v>3449</v>
      </c>
      <c r="D319" s="613" t="s">
        <v>1459</v>
      </c>
      <c r="E319" s="614" t="s">
        <v>3450</v>
      </c>
      <c r="F319" s="614" t="s">
        <v>1456</v>
      </c>
      <c r="G319" s="608" t="s">
        <v>3448</v>
      </c>
      <c r="H319" s="607" t="s">
        <v>69</v>
      </c>
      <c r="I319" s="601">
        <v>4.4800000000000004</v>
      </c>
      <c r="J319" s="924"/>
      <c r="K319" s="925"/>
    </row>
    <row r="320" spans="1:11" s="617" customFormat="1" ht="24" x14ac:dyDescent="0.2">
      <c r="A320" s="922"/>
      <c r="B320" s="923"/>
      <c r="C320" s="624" t="s">
        <v>3451</v>
      </c>
      <c r="D320" s="613" t="s">
        <v>1452</v>
      </c>
      <c r="E320" s="614" t="s">
        <v>3452</v>
      </c>
      <c r="F320" s="614" t="s">
        <v>1449</v>
      </c>
      <c r="G320" s="608" t="s">
        <v>3448</v>
      </c>
      <c r="H320" s="607" t="s">
        <v>69</v>
      </c>
      <c r="I320" s="601">
        <v>4.03</v>
      </c>
      <c r="J320" s="924"/>
      <c r="K320" s="925"/>
    </row>
    <row r="321" spans="1:11" s="617" customFormat="1" ht="12.75" x14ac:dyDescent="0.2">
      <c r="A321" s="922">
        <v>84</v>
      </c>
      <c r="B321" s="923" t="s">
        <v>3453</v>
      </c>
      <c r="C321" s="624" t="s">
        <v>1484</v>
      </c>
      <c r="D321" s="613" t="s">
        <v>1369</v>
      </c>
      <c r="E321" s="614" t="s">
        <v>3447</v>
      </c>
      <c r="F321" s="614" t="s">
        <v>1178</v>
      </c>
      <c r="G321" s="608" t="s">
        <v>3448</v>
      </c>
      <c r="H321" s="607" t="s">
        <v>69</v>
      </c>
      <c r="I321" s="601">
        <v>51.28</v>
      </c>
      <c r="J321" s="924">
        <f>MEDIAN(I321:I323)</f>
        <v>50.57</v>
      </c>
      <c r="K321" s="925"/>
    </row>
    <row r="322" spans="1:11" s="617" customFormat="1" ht="24" x14ac:dyDescent="0.2">
      <c r="A322" s="922"/>
      <c r="B322" s="923"/>
      <c r="C322" s="624" t="s">
        <v>3449</v>
      </c>
      <c r="D322" s="613" t="s">
        <v>1459</v>
      </c>
      <c r="E322" s="614" t="s">
        <v>3450</v>
      </c>
      <c r="F322" s="614" t="s">
        <v>1456</v>
      </c>
      <c r="G322" s="608" t="s">
        <v>3448</v>
      </c>
      <c r="H322" s="607" t="s">
        <v>69</v>
      </c>
      <c r="I322" s="601">
        <v>50.57</v>
      </c>
      <c r="J322" s="924"/>
      <c r="K322" s="925"/>
    </row>
    <row r="323" spans="1:11" s="617" customFormat="1" ht="24" x14ac:dyDescent="0.2">
      <c r="A323" s="922"/>
      <c r="B323" s="923"/>
      <c r="C323" s="624" t="s">
        <v>3451</v>
      </c>
      <c r="D323" s="613" t="s">
        <v>1452</v>
      </c>
      <c r="E323" s="614" t="s">
        <v>3452</v>
      </c>
      <c r="F323" s="614" t="s">
        <v>1449</v>
      </c>
      <c r="G323" s="608" t="s">
        <v>3448</v>
      </c>
      <c r="H323" s="607" t="s">
        <v>69</v>
      </c>
      <c r="I323" s="601">
        <v>48.95</v>
      </c>
      <c r="J323" s="924"/>
      <c r="K323" s="925"/>
    </row>
    <row r="324" spans="1:11" s="617" customFormat="1" ht="12.75" x14ac:dyDescent="0.2">
      <c r="A324" s="922">
        <v>86</v>
      </c>
      <c r="B324" s="923" t="s">
        <v>3198</v>
      </c>
      <c r="C324" s="624" t="s">
        <v>1484</v>
      </c>
      <c r="D324" s="613" t="s">
        <v>1369</v>
      </c>
      <c r="E324" s="614" t="s">
        <v>3447</v>
      </c>
      <c r="F324" s="614" t="s">
        <v>1178</v>
      </c>
      <c r="G324" s="608" t="s">
        <v>3448</v>
      </c>
      <c r="H324" s="607" t="s">
        <v>69</v>
      </c>
      <c r="I324" s="609">
        <v>7.25</v>
      </c>
      <c r="J324" s="924">
        <f>MEDIAN(I324:I326)</f>
        <v>6.85</v>
      </c>
      <c r="K324" s="925"/>
    </row>
    <row r="325" spans="1:11" s="617" customFormat="1" ht="24" x14ac:dyDescent="0.2">
      <c r="A325" s="922"/>
      <c r="B325" s="923"/>
      <c r="C325" s="624" t="s">
        <v>3449</v>
      </c>
      <c r="D325" s="613" t="s">
        <v>1459</v>
      </c>
      <c r="E325" s="614" t="s">
        <v>3450</v>
      </c>
      <c r="F325" s="614" t="s">
        <v>1456</v>
      </c>
      <c r="G325" s="608" t="s">
        <v>3448</v>
      </c>
      <c r="H325" s="607" t="s">
        <v>69</v>
      </c>
      <c r="I325" s="609">
        <v>6.85</v>
      </c>
      <c r="J325" s="924"/>
      <c r="K325" s="925"/>
    </row>
    <row r="326" spans="1:11" s="617" customFormat="1" ht="24" x14ac:dyDescent="0.2">
      <c r="A326" s="922"/>
      <c r="B326" s="923"/>
      <c r="C326" s="624" t="s">
        <v>3451</v>
      </c>
      <c r="D326" s="613" t="s">
        <v>1452</v>
      </c>
      <c r="E326" s="614" t="s">
        <v>3452</v>
      </c>
      <c r="F326" s="614" t="s">
        <v>1449</v>
      </c>
      <c r="G326" s="608" t="s">
        <v>3448</v>
      </c>
      <c r="H326" s="607" t="s">
        <v>69</v>
      </c>
      <c r="I326" s="609">
        <v>6.65</v>
      </c>
      <c r="J326" s="924"/>
      <c r="K326" s="925"/>
    </row>
    <row r="327" spans="1:11" s="617" customFormat="1" ht="12.75" x14ac:dyDescent="0.2">
      <c r="A327" s="922">
        <v>89</v>
      </c>
      <c r="B327" s="923" t="s">
        <v>3202</v>
      </c>
      <c r="C327" s="624" t="s">
        <v>1484</v>
      </c>
      <c r="D327" s="613" t="s">
        <v>1369</v>
      </c>
      <c r="E327" s="614" t="s">
        <v>3447</v>
      </c>
      <c r="F327" s="614" t="s">
        <v>1178</v>
      </c>
      <c r="G327" s="608" t="s">
        <v>3448</v>
      </c>
      <c r="H327" s="607" t="s">
        <v>69</v>
      </c>
      <c r="I327" s="609">
        <v>11.29</v>
      </c>
      <c r="J327" s="924">
        <f>MEDIAN(I327:I329)</f>
        <v>10.35</v>
      </c>
      <c r="K327" s="925"/>
    </row>
    <row r="328" spans="1:11" s="617" customFormat="1" ht="24" x14ac:dyDescent="0.2">
      <c r="A328" s="922"/>
      <c r="B328" s="923"/>
      <c r="C328" s="624" t="s">
        <v>3449</v>
      </c>
      <c r="D328" s="613" t="s">
        <v>1459</v>
      </c>
      <c r="E328" s="614" t="s">
        <v>3450</v>
      </c>
      <c r="F328" s="614" t="s">
        <v>1456</v>
      </c>
      <c r="G328" s="608" t="s">
        <v>3448</v>
      </c>
      <c r="H328" s="607" t="s">
        <v>69</v>
      </c>
      <c r="I328" s="609">
        <v>9.7899999999999991</v>
      </c>
      <c r="J328" s="924"/>
      <c r="K328" s="925"/>
    </row>
    <row r="329" spans="1:11" s="617" customFormat="1" ht="24" x14ac:dyDescent="0.2">
      <c r="A329" s="922"/>
      <c r="B329" s="923"/>
      <c r="C329" s="624" t="s">
        <v>3451</v>
      </c>
      <c r="D329" s="613" t="s">
        <v>1452</v>
      </c>
      <c r="E329" s="614" t="s">
        <v>3452</v>
      </c>
      <c r="F329" s="614" t="s">
        <v>1449</v>
      </c>
      <c r="G329" s="608" t="s">
        <v>3448</v>
      </c>
      <c r="H329" s="607" t="s">
        <v>69</v>
      </c>
      <c r="I329" s="609">
        <v>10.35</v>
      </c>
      <c r="J329" s="924"/>
      <c r="K329" s="925"/>
    </row>
    <row r="330" spans="1:11" s="617" customFormat="1" ht="12.75" x14ac:dyDescent="0.2">
      <c r="A330" s="922">
        <v>90</v>
      </c>
      <c r="B330" s="923" t="s">
        <v>3454</v>
      </c>
      <c r="C330" s="624" t="s">
        <v>1484</v>
      </c>
      <c r="D330" s="613" t="s">
        <v>1369</v>
      </c>
      <c r="E330" s="614" t="s">
        <v>3447</v>
      </c>
      <c r="F330" s="614" t="s">
        <v>1178</v>
      </c>
      <c r="G330" s="608" t="s">
        <v>3448</v>
      </c>
      <c r="H330" s="607" t="s">
        <v>69</v>
      </c>
      <c r="I330" s="609">
        <v>15.74</v>
      </c>
      <c r="J330" s="924">
        <f>MEDIAN(I330:I332)</f>
        <v>14.36</v>
      </c>
      <c r="K330" s="925"/>
    </row>
    <row r="331" spans="1:11" s="617" customFormat="1" ht="24" x14ac:dyDescent="0.2">
      <c r="A331" s="922"/>
      <c r="B331" s="923"/>
      <c r="C331" s="624" t="s">
        <v>3449</v>
      </c>
      <c r="D331" s="613" t="s">
        <v>1459</v>
      </c>
      <c r="E331" s="614" t="s">
        <v>3450</v>
      </c>
      <c r="F331" s="614" t="s">
        <v>1456</v>
      </c>
      <c r="G331" s="608" t="s">
        <v>3448</v>
      </c>
      <c r="H331" s="607" t="s">
        <v>69</v>
      </c>
      <c r="I331" s="609">
        <v>14.01</v>
      </c>
      <c r="J331" s="924"/>
      <c r="K331" s="925"/>
    </row>
    <row r="332" spans="1:11" s="617" customFormat="1" ht="24" x14ac:dyDescent="0.2">
      <c r="A332" s="922"/>
      <c r="B332" s="923"/>
      <c r="C332" s="624" t="s">
        <v>3451</v>
      </c>
      <c r="D332" s="613" t="s">
        <v>1452</v>
      </c>
      <c r="E332" s="614" t="s">
        <v>3452</v>
      </c>
      <c r="F332" s="614" t="s">
        <v>1449</v>
      </c>
      <c r="G332" s="608" t="s">
        <v>3448</v>
      </c>
      <c r="H332" s="607" t="s">
        <v>69</v>
      </c>
      <c r="I332" s="609">
        <v>14.36</v>
      </c>
      <c r="J332" s="924"/>
      <c r="K332" s="925"/>
    </row>
    <row r="333" spans="1:11" s="617" customFormat="1" ht="12.75" x14ac:dyDescent="0.2">
      <c r="A333" s="922">
        <v>91</v>
      </c>
      <c r="B333" s="923" t="s">
        <v>3076</v>
      </c>
      <c r="C333" s="624" t="s">
        <v>1484</v>
      </c>
      <c r="D333" s="613" t="s">
        <v>1369</v>
      </c>
      <c r="E333" s="614" t="s">
        <v>3447</v>
      </c>
      <c r="F333" s="614" t="s">
        <v>1178</v>
      </c>
      <c r="G333" s="608" t="s">
        <v>3448</v>
      </c>
      <c r="H333" s="607" t="s">
        <v>69</v>
      </c>
      <c r="I333" s="609">
        <v>22.53</v>
      </c>
      <c r="J333" s="924">
        <f>MEDIAN(I333:I335)</f>
        <v>20.82</v>
      </c>
      <c r="K333" s="925"/>
    </row>
    <row r="334" spans="1:11" s="617" customFormat="1" ht="24" x14ac:dyDescent="0.2">
      <c r="A334" s="922"/>
      <c r="B334" s="923"/>
      <c r="C334" s="624" t="s">
        <v>3449</v>
      </c>
      <c r="D334" s="613" t="s">
        <v>1459</v>
      </c>
      <c r="E334" s="614" t="s">
        <v>3450</v>
      </c>
      <c r="F334" s="614" t="s">
        <v>1456</v>
      </c>
      <c r="G334" s="608" t="s">
        <v>3448</v>
      </c>
      <c r="H334" s="607" t="s">
        <v>69</v>
      </c>
      <c r="I334" s="609">
        <v>20.61</v>
      </c>
      <c r="J334" s="924"/>
      <c r="K334" s="925"/>
    </row>
    <row r="335" spans="1:11" s="617" customFormat="1" ht="24" x14ac:dyDescent="0.2">
      <c r="A335" s="922"/>
      <c r="B335" s="923"/>
      <c r="C335" s="624" t="s">
        <v>3451</v>
      </c>
      <c r="D335" s="613" t="s">
        <v>1452</v>
      </c>
      <c r="E335" s="614" t="s">
        <v>3452</v>
      </c>
      <c r="F335" s="614" t="s">
        <v>1449</v>
      </c>
      <c r="G335" s="608" t="s">
        <v>3448</v>
      </c>
      <c r="H335" s="607" t="s">
        <v>69</v>
      </c>
      <c r="I335" s="609">
        <v>20.82</v>
      </c>
      <c r="J335" s="924"/>
      <c r="K335" s="925"/>
    </row>
    <row r="336" spans="1:11" s="617" customFormat="1" ht="12.75" x14ac:dyDescent="0.2">
      <c r="A336" s="922">
        <v>92</v>
      </c>
      <c r="B336" s="923" t="s">
        <v>3455</v>
      </c>
      <c r="C336" s="624" t="s">
        <v>1484</v>
      </c>
      <c r="D336" s="613" t="s">
        <v>1369</v>
      </c>
      <c r="E336" s="614" t="s">
        <v>3447</v>
      </c>
      <c r="F336" s="614" t="s">
        <v>1178</v>
      </c>
      <c r="G336" s="608" t="s">
        <v>3448</v>
      </c>
      <c r="H336" s="607" t="s">
        <v>69</v>
      </c>
      <c r="I336" s="609">
        <v>26.08</v>
      </c>
      <c r="J336" s="924">
        <f>MEDIAN(I336:I338)</f>
        <v>27.72</v>
      </c>
      <c r="K336" s="925"/>
    </row>
    <row r="337" spans="1:11" s="617" customFormat="1" ht="24" x14ac:dyDescent="0.2">
      <c r="A337" s="922"/>
      <c r="B337" s="923"/>
      <c r="C337" s="624" t="s">
        <v>3449</v>
      </c>
      <c r="D337" s="613" t="s">
        <v>1459</v>
      </c>
      <c r="E337" s="614" t="s">
        <v>3450</v>
      </c>
      <c r="F337" s="614" t="s">
        <v>1456</v>
      </c>
      <c r="G337" s="608" t="s">
        <v>3448</v>
      </c>
      <c r="H337" s="607" t="s">
        <v>69</v>
      </c>
      <c r="I337" s="609">
        <v>27.72</v>
      </c>
      <c r="J337" s="924"/>
      <c r="K337" s="925"/>
    </row>
    <row r="338" spans="1:11" s="617" customFormat="1" ht="24" x14ac:dyDescent="0.2">
      <c r="A338" s="922"/>
      <c r="B338" s="923"/>
      <c r="C338" s="624" t="s">
        <v>3451</v>
      </c>
      <c r="D338" s="613" t="s">
        <v>1452</v>
      </c>
      <c r="E338" s="614" t="s">
        <v>3452</v>
      </c>
      <c r="F338" s="614" t="s">
        <v>1449</v>
      </c>
      <c r="G338" s="608" t="s">
        <v>3448</v>
      </c>
      <c r="H338" s="607" t="s">
        <v>69</v>
      </c>
      <c r="I338" s="609">
        <v>29.17</v>
      </c>
      <c r="J338" s="924"/>
      <c r="K338" s="925"/>
    </row>
  </sheetData>
  <mergeCells count="361">
    <mergeCell ref="A1:J1"/>
    <mergeCell ref="A3:A5"/>
    <mergeCell ref="B3:B5"/>
    <mergeCell ref="J3:J5"/>
    <mergeCell ref="A6:J6"/>
    <mergeCell ref="A7:A9"/>
    <mergeCell ref="B7:B9"/>
    <mergeCell ref="J7:J9"/>
    <mergeCell ref="A18:J18"/>
    <mergeCell ref="A19:A21"/>
    <mergeCell ref="B19:B21"/>
    <mergeCell ref="J19:J21"/>
    <mergeCell ref="A22:J22"/>
    <mergeCell ref="A23:A25"/>
    <mergeCell ref="B23:B25"/>
    <mergeCell ref="J23:J25"/>
    <mergeCell ref="A10:J10"/>
    <mergeCell ref="A11:A13"/>
    <mergeCell ref="B11:B13"/>
    <mergeCell ref="J11:J13"/>
    <mergeCell ref="A14:J14"/>
    <mergeCell ref="A15:A17"/>
    <mergeCell ref="B15:B17"/>
    <mergeCell ref="J15:J17"/>
    <mergeCell ref="A35:A37"/>
    <mergeCell ref="B35:B37"/>
    <mergeCell ref="J35:J37"/>
    <mergeCell ref="A39:A41"/>
    <mergeCell ref="B39:B41"/>
    <mergeCell ref="J39:J41"/>
    <mergeCell ref="A26:J26"/>
    <mergeCell ref="A27:A29"/>
    <mergeCell ref="B27:B29"/>
    <mergeCell ref="J27:J29"/>
    <mergeCell ref="A30:J30"/>
    <mergeCell ref="A31:A33"/>
    <mergeCell ref="B31:B33"/>
    <mergeCell ref="J31:J33"/>
    <mergeCell ref="A51:A53"/>
    <mergeCell ref="B51:B53"/>
    <mergeCell ref="J51:J53"/>
    <mergeCell ref="A55:A57"/>
    <mergeCell ref="B55:B57"/>
    <mergeCell ref="J55:J57"/>
    <mergeCell ref="A43:A45"/>
    <mergeCell ref="B43:B45"/>
    <mergeCell ref="J43:J45"/>
    <mergeCell ref="A47:A49"/>
    <mergeCell ref="B47:B49"/>
    <mergeCell ref="J47:J49"/>
    <mergeCell ref="A67:A69"/>
    <mergeCell ref="B67:B69"/>
    <mergeCell ref="J67:J69"/>
    <mergeCell ref="A71:A73"/>
    <mergeCell ref="B71:B73"/>
    <mergeCell ref="J71:J73"/>
    <mergeCell ref="A59:A61"/>
    <mergeCell ref="B59:B61"/>
    <mergeCell ref="J59:J61"/>
    <mergeCell ref="A63:A65"/>
    <mergeCell ref="B63:B65"/>
    <mergeCell ref="J63:J65"/>
    <mergeCell ref="A83:A86"/>
    <mergeCell ref="B83:B86"/>
    <mergeCell ref="J83:J86"/>
    <mergeCell ref="K83:K85"/>
    <mergeCell ref="K87:K89"/>
    <mergeCell ref="A88:A90"/>
    <mergeCell ref="B88:B90"/>
    <mergeCell ref="J88:J90"/>
    <mergeCell ref="K71:K73"/>
    <mergeCell ref="A75:A77"/>
    <mergeCell ref="B75:B77"/>
    <mergeCell ref="J75:J77"/>
    <mergeCell ref="K75:K77"/>
    <mergeCell ref="A79:A81"/>
    <mergeCell ref="B79:B81"/>
    <mergeCell ref="J79:J81"/>
    <mergeCell ref="K79:K81"/>
    <mergeCell ref="K99:K101"/>
    <mergeCell ref="A100:A102"/>
    <mergeCell ref="B100:B102"/>
    <mergeCell ref="J100:J102"/>
    <mergeCell ref="K103:K105"/>
    <mergeCell ref="A104:A106"/>
    <mergeCell ref="B104:B106"/>
    <mergeCell ref="J104:J106"/>
    <mergeCell ref="K91:K93"/>
    <mergeCell ref="A92:A94"/>
    <mergeCell ref="B92:B94"/>
    <mergeCell ref="J92:J94"/>
    <mergeCell ref="K95:K97"/>
    <mergeCell ref="A96:A98"/>
    <mergeCell ref="B96:B98"/>
    <mergeCell ref="J96:J98"/>
    <mergeCell ref="A116:A118"/>
    <mergeCell ref="B116:B118"/>
    <mergeCell ref="J116:J118"/>
    <mergeCell ref="K116:K118"/>
    <mergeCell ref="A120:A122"/>
    <mergeCell ref="B120:B122"/>
    <mergeCell ref="J120:J122"/>
    <mergeCell ref="K120:K122"/>
    <mergeCell ref="K107:K109"/>
    <mergeCell ref="A108:A110"/>
    <mergeCell ref="B108:B110"/>
    <mergeCell ref="J108:J110"/>
    <mergeCell ref="A112:A114"/>
    <mergeCell ref="B112:B114"/>
    <mergeCell ref="J112:J114"/>
    <mergeCell ref="K112:K114"/>
    <mergeCell ref="A132:A134"/>
    <mergeCell ref="B132:B134"/>
    <mergeCell ref="J132:J134"/>
    <mergeCell ref="K132:K134"/>
    <mergeCell ref="A136:A138"/>
    <mergeCell ref="B136:B138"/>
    <mergeCell ref="J136:J138"/>
    <mergeCell ref="K136:K137"/>
    <mergeCell ref="A124:A126"/>
    <mergeCell ref="B124:B126"/>
    <mergeCell ref="J124:J126"/>
    <mergeCell ref="K124:K126"/>
    <mergeCell ref="A128:A130"/>
    <mergeCell ref="B128:B130"/>
    <mergeCell ref="J128:J130"/>
    <mergeCell ref="K128:K130"/>
    <mergeCell ref="A139:A141"/>
    <mergeCell ref="B139:B141"/>
    <mergeCell ref="J139:J141"/>
    <mergeCell ref="K139:K141"/>
    <mergeCell ref="A142:A144"/>
    <mergeCell ref="B142:B144"/>
    <mergeCell ref="J142:J144"/>
    <mergeCell ref="K143:K145"/>
    <mergeCell ref="A145:A147"/>
    <mergeCell ref="B145:B147"/>
    <mergeCell ref="J145:J147"/>
    <mergeCell ref="K147:K149"/>
    <mergeCell ref="A148:A150"/>
    <mergeCell ref="B148:B150"/>
    <mergeCell ref="J148:J150"/>
    <mergeCell ref="A151:A153"/>
    <mergeCell ref="B151:B153"/>
    <mergeCell ref="J151:J153"/>
    <mergeCell ref="K151:K153"/>
    <mergeCell ref="A154:A156"/>
    <mergeCell ref="B154:B156"/>
    <mergeCell ref="J154:J156"/>
    <mergeCell ref="K155:K157"/>
    <mergeCell ref="A157:A159"/>
    <mergeCell ref="B157:B159"/>
    <mergeCell ref="J157:J159"/>
    <mergeCell ref="K159:K161"/>
    <mergeCell ref="A160:A162"/>
    <mergeCell ref="B160:B162"/>
    <mergeCell ref="B169:B171"/>
    <mergeCell ref="J169:J171"/>
    <mergeCell ref="K171:K173"/>
    <mergeCell ref="A172:A174"/>
    <mergeCell ref="B172:B174"/>
    <mergeCell ref="J172:J174"/>
    <mergeCell ref="J160:J162"/>
    <mergeCell ref="A163:A165"/>
    <mergeCell ref="B163:B165"/>
    <mergeCell ref="J163:J165"/>
    <mergeCell ref="K163:K165"/>
    <mergeCell ref="A166:A168"/>
    <mergeCell ref="B166:B168"/>
    <mergeCell ref="J166:J168"/>
    <mergeCell ref="K167:K169"/>
    <mergeCell ref="A169:A171"/>
    <mergeCell ref="A175:A177"/>
    <mergeCell ref="B175:B177"/>
    <mergeCell ref="J175:J177"/>
    <mergeCell ref="K175:K177"/>
    <mergeCell ref="A178:A180"/>
    <mergeCell ref="B178:B180"/>
    <mergeCell ref="J178:J180"/>
    <mergeCell ref="K179:K181"/>
    <mergeCell ref="A181:A183"/>
    <mergeCell ref="B181:B183"/>
    <mergeCell ref="J181:J183"/>
    <mergeCell ref="K183:K185"/>
    <mergeCell ref="A184:A186"/>
    <mergeCell ref="B184:B186"/>
    <mergeCell ref="J184:J186"/>
    <mergeCell ref="A187:A189"/>
    <mergeCell ref="B187:B189"/>
    <mergeCell ref="J187:J189"/>
    <mergeCell ref="K187:K189"/>
    <mergeCell ref="A190:A192"/>
    <mergeCell ref="B190:B192"/>
    <mergeCell ref="J190:J192"/>
    <mergeCell ref="K191:K193"/>
    <mergeCell ref="A193:A195"/>
    <mergeCell ref="B193:B195"/>
    <mergeCell ref="J193:J195"/>
    <mergeCell ref="K195:K197"/>
    <mergeCell ref="A196:A198"/>
    <mergeCell ref="B196:B198"/>
    <mergeCell ref="B205:B207"/>
    <mergeCell ref="J205:J207"/>
    <mergeCell ref="K207:K209"/>
    <mergeCell ref="A208:A210"/>
    <mergeCell ref="B208:B210"/>
    <mergeCell ref="J208:J210"/>
    <mergeCell ref="J196:J198"/>
    <mergeCell ref="A199:A201"/>
    <mergeCell ref="B199:B201"/>
    <mergeCell ref="J199:J201"/>
    <mergeCell ref="K199:K201"/>
    <mergeCell ref="A202:A204"/>
    <mergeCell ref="B202:B204"/>
    <mergeCell ref="J202:J204"/>
    <mergeCell ref="K203:K205"/>
    <mergeCell ref="A205:A207"/>
    <mergeCell ref="A211:A213"/>
    <mergeCell ref="B211:B213"/>
    <mergeCell ref="J211:J213"/>
    <mergeCell ref="K211:K213"/>
    <mergeCell ref="A214:A216"/>
    <mergeCell ref="B214:B216"/>
    <mergeCell ref="J214:J216"/>
    <mergeCell ref="K215:K217"/>
    <mergeCell ref="A217:A219"/>
    <mergeCell ref="B217:B219"/>
    <mergeCell ref="B226:B228"/>
    <mergeCell ref="J226:J228"/>
    <mergeCell ref="K227:K229"/>
    <mergeCell ref="A230:A232"/>
    <mergeCell ref="B230:B232"/>
    <mergeCell ref="J230:J232"/>
    <mergeCell ref="K230:K232"/>
    <mergeCell ref="J217:J219"/>
    <mergeCell ref="K219:K221"/>
    <mergeCell ref="A220:A222"/>
    <mergeCell ref="B220:B222"/>
    <mergeCell ref="J220:J222"/>
    <mergeCell ref="A223:A225"/>
    <mergeCell ref="B223:B225"/>
    <mergeCell ref="J223:J225"/>
    <mergeCell ref="K224:K226"/>
    <mergeCell ref="A226:A228"/>
    <mergeCell ref="K233:K235"/>
    <mergeCell ref="A234:A236"/>
    <mergeCell ref="B234:B236"/>
    <mergeCell ref="J234:J236"/>
    <mergeCell ref="K236:K238"/>
    <mergeCell ref="A238:A240"/>
    <mergeCell ref="B238:B240"/>
    <mergeCell ref="J238:J240"/>
    <mergeCell ref="K239:K241"/>
    <mergeCell ref="B250:B252"/>
    <mergeCell ref="J250:J252"/>
    <mergeCell ref="K251:K253"/>
    <mergeCell ref="A254:A256"/>
    <mergeCell ref="B254:B256"/>
    <mergeCell ref="J254:J256"/>
    <mergeCell ref="K255:K257"/>
    <mergeCell ref="A242:A244"/>
    <mergeCell ref="B242:B244"/>
    <mergeCell ref="J242:J244"/>
    <mergeCell ref="K242:K244"/>
    <mergeCell ref="K245:K247"/>
    <mergeCell ref="A246:A248"/>
    <mergeCell ref="B246:B248"/>
    <mergeCell ref="J246:J248"/>
    <mergeCell ref="K248:K250"/>
    <mergeCell ref="A250:A252"/>
    <mergeCell ref="B266:B268"/>
    <mergeCell ref="J266:J268"/>
    <mergeCell ref="K267:K269"/>
    <mergeCell ref="A270:A272"/>
    <mergeCell ref="B270:B272"/>
    <mergeCell ref="J270:J272"/>
    <mergeCell ref="K270:K272"/>
    <mergeCell ref="A258:A260"/>
    <mergeCell ref="B258:B260"/>
    <mergeCell ref="J258:J260"/>
    <mergeCell ref="K258:K260"/>
    <mergeCell ref="K261:K263"/>
    <mergeCell ref="A262:A264"/>
    <mergeCell ref="B262:B264"/>
    <mergeCell ref="J262:J264"/>
    <mergeCell ref="K264:K266"/>
    <mergeCell ref="A266:A268"/>
    <mergeCell ref="A282:A284"/>
    <mergeCell ref="B282:B284"/>
    <mergeCell ref="J282:J284"/>
    <mergeCell ref="K282:K284"/>
    <mergeCell ref="A286:A288"/>
    <mergeCell ref="B286:B288"/>
    <mergeCell ref="J286:J288"/>
    <mergeCell ref="K286:K288"/>
    <mergeCell ref="A274:A276"/>
    <mergeCell ref="B274:B276"/>
    <mergeCell ref="J274:J276"/>
    <mergeCell ref="K274:K275"/>
    <mergeCell ref="K276:K277"/>
    <mergeCell ref="A278:A280"/>
    <mergeCell ref="B278:B280"/>
    <mergeCell ref="J278:J280"/>
    <mergeCell ref="K278:K280"/>
    <mergeCell ref="A290:A292"/>
    <mergeCell ref="B290:B292"/>
    <mergeCell ref="J290:J292"/>
    <mergeCell ref="K290:K292"/>
    <mergeCell ref="A293:J293"/>
    <mergeCell ref="A294:A296"/>
    <mergeCell ref="B294:B296"/>
    <mergeCell ref="J294:J296"/>
    <mergeCell ref="K294:K296"/>
    <mergeCell ref="A306:A308"/>
    <mergeCell ref="B306:B308"/>
    <mergeCell ref="J306:J308"/>
    <mergeCell ref="K306:K308"/>
    <mergeCell ref="A310:A312"/>
    <mergeCell ref="B310:B312"/>
    <mergeCell ref="J310:J312"/>
    <mergeCell ref="K310:K312"/>
    <mergeCell ref="A298:A300"/>
    <mergeCell ref="B298:B300"/>
    <mergeCell ref="J298:J300"/>
    <mergeCell ref="K298:K300"/>
    <mergeCell ref="A302:A304"/>
    <mergeCell ref="B302:B304"/>
    <mergeCell ref="J302:J304"/>
    <mergeCell ref="K302:K304"/>
    <mergeCell ref="A321:A323"/>
    <mergeCell ref="B321:B323"/>
    <mergeCell ref="J321:J323"/>
    <mergeCell ref="K321:K323"/>
    <mergeCell ref="A324:A326"/>
    <mergeCell ref="B324:B326"/>
    <mergeCell ref="J324:J326"/>
    <mergeCell ref="K324:K326"/>
    <mergeCell ref="A314:A316"/>
    <mergeCell ref="B314:B316"/>
    <mergeCell ref="J314:J316"/>
    <mergeCell ref="K314:K316"/>
    <mergeCell ref="A318:A320"/>
    <mergeCell ref="B318:B320"/>
    <mergeCell ref="J318:J320"/>
    <mergeCell ref="K318:K320"/>
    <mergeCell ref="A333:A335"/>
    <mergeCell ref="B333:B335"/>
    <mergeCell ref="J333:J335"/>
    <mergeCell ref="K333:K335"/>
    <mergeCell ref="A336:A338"/>
    <mergeCell ref="B336:B338"/>
    <mergeCell ref="J336:J338"/>
    <mergeCell ref="K336:K338"/>
    <mergeCell ref="A327:A329"/>
    <mergeCell ref="B327:B329"/>
    <mergeCell ref="J327:J329"/>
    <mergeCell ref="K327:K329"/>
    <mergeCell ref="A330:A332"/>
    <mergeCell ref="B330:B332"/>
    <mergeCell ref="J330:J332"/>
    <mergeCell ref="K330:K332"/>
  </mergeCells>
  <conditionalFormatting sqref="B318:B338">
    <cfRule type="duplicateValues" dxfId="2" priority="2"/>
  </conditionalFormatting>
  <conditionalFormatting sqref="A318:A338">
    <cfRule type="duplicateValues" dxfId="1" priority="1"/>
  </conditionalFormatting>
  <conditionalFormatting sqref="A318:A338">
    <cfRule type="duplicateValues" dxfId="0" priority="3"/>
  </conditionalFormatting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>&amp;L&amp;G&amp;C&amp;8&amp;K01+047GOVERNO DO ESTADO DE MATO GROSSO
SECRETARIA DE ESTADO DE EDUCAÇÃO
SECRETARIA ADJUNTA DE ESTRUTURA ESCOLAR&amp;R&amp;G</oddHeader>
    <oddFooter>&amp;L&amp;9&amp;K01+049Secretaria de Estado de Educação, Esporte e Lazer de Mato Grosso
Rua Engenheiro Edgar Prado Arze, 215 - Centro Político Administrativo
CEP: 78049-909 | Cuiabá-MT
Fone: (65) 3613-6300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1"/>
  <sheetViews>
    <sheetView view="pageBreakPreview" zoomScaleNormal="100" zoomScaleSheetLayoutView="100" workbookViewId="0">
      <selection activeCell="A2" sqref="A2:A5"/>
    </sheetView>
  </sheetViews>
  <sheetFormatPr defaultRowHeight="15" x14ac:dyDescent="0.25"/>
  <cols>
    <col min="3" max="3" width="64.42578125" customWidth="1"/>
    <col min="4" max="4" width="9.7109375" customWidth="1"/>
  </cols>
  <sheetData>
    <row r="1" spans="1:4" ht="16.5" thickBot="1" x14ac:dyDescent="0.3">
      <c r="A1" s="949" t="s">
        <v>3456</v>
      </c>
      <c r="B1" s="950"/>
      <c r="C1" s="950"/>
      <c r="D1" s="951"/>
    </row>
    <row r="2" spans="1:4" x14ac:dyDescent="0.25">
      <c r="A2" s="940">
        <v>1</v>
      </c>
      <c r="B2" s="641" t="s">
        <v>3457</v>
      </c>
      <c r="C2" s="642" t="s">
        <v>3458</v>
      </c>
      <c r="D2" s="643" t="s">
        <v>3459</v>
      </c>
    </row>
    <row r="3" spans="1:4" x14ac:dyDescent="0.25">
      <c r="A3" s="941"/>
      <c r="B3" s="644" t="s">
        <v>3460</v>
      </c>
      <c r="C3" s="645" t="s">
        <v>2807</v>
      </c>
      <c r="D3" s="946" t="s">
        <v>3461</v>
      </c>
    </row>
    <row r="4" spans="1:4" x14ac:dyDescent="0.25">
      <c r="A4" s="941"/>
      <c r="B4" s="644" t="s">
        <v>3462</v>
      </c>
      <c r="C4" s="645" t="s">
        <v>3463</v>
      </c>
      <c r="D4" s="947"/>
    </row>
    <row r="5" spans="1:4" ht="15.75" thickBot="1" x14ac:dyDescent="0.3">
      <c r="A5" s="942"/>
      <c r="B5" s="646" t="s">
        <v>3464</v>
      </c>
      <c r="C5" s="647" t="s">
        <v>56</v>
      </c>
      <c r="D5" s="948"/>
    </row>
    <row r="6" spans="1:4" x14ac:dyDescent="0.25">
      <c r="A6" s="940">
        <v>2</v>
      </c>
      <c r="B6" s="641" t="s">
        <v>3457</v>
      </c>
      <c r="C6" s="642" t="s">
        <v>3465</v>
      </c>
      <c r="D6" s="643" t="s">
        <v>3459</v>
      </c>
    </row>
    <row r="7" spans="1:4" x14ac:dyDescent="0.25">
      <c r="A7" s="941"/>
      <c r="B7" s="644" t="s">
        <v>3460</v>
      </c>
      <c r="C7" s="645" t="s">
        <v>2809</v>
      </c>
      <c r="D7" s="946" t="s">
        <v>3466</v>
      </c>
    </row>
    <row r="8" spans="1:4" x14ac:dyDescent="0.25">
      <c r="A8" s="941"/>
      <c r="B8" s="644" t="s">
        <v>3462</v>
      </c>
      <c r="C8" s="645" t="s">
        <v>3463</v>
      </c>
      <c r="D8" s="947"/>
    </row>
    <row r="9" spans="1:4" ht="15.75" thickBot="1" x14ac:dyDescent="0.3">
      <c r="A9" s="942"/>
      <c r="B9" s="646" t="s">
        <v>3464</v>
      </c>
      <c r="C9" s="647" t="s">
        <v>56</v>
      </c>
      <c r="D9" s="948"/>
    </row>
    <row r="10" spans="1:4" x14ac:dyDescent="0.25">
      <c r="A10" s="940">
        <v>3</v>
      </c>
      <c r="B10" s="641" t="s">
        <v>3457</v>
      </c>
      <c r="C10" s="642" t="s">
        <v>3467</v>
      </c>
      <c r="D10" s="643" t="s">
        <v>3459</v>
      </c>
    </row>
    <row r="11" spans="1:4" x14ac:dyDescent="0.25">
      <c r="A11" s="941"/>
      <c r="B11" s="644" t="s">
        <v>3460</v>
      </c>
      <c r="C11" s="645" t="s">
        <v>865</v>
      </c>
      <c r="D11" s="946" t="s">
        <v>3468</v>
      </c>
    </row>
    <row r="12" spans="1:4" x14ac:dyDescent="0.25">
      <c r="A12" s="941"/>
      <c r="B12" s="644" t="s">
        <v>3462</v>
      </c>
      <c r="C12" s="645" t="s">
        <v>3463</v>
      </c>
      <c r="D12" s="947"/>
    </row>
    <row r="13" spans="1:4" ht="15.75" thickBot="1" x14ac:dyDescent="0.3">
      <c r="A13" s="942"/>
      <c r="B13" s="646" t="s">
        <v>3464</v>
      </c>
      <c r="C13" s="647" t="s">
        <v>56</v>
      </c>
      <c r="D13" s="948"/>
    </row>
    <row r="14" spans="1:4" x14ac:dyDescent="0.25">
      <c r="A14" s="940">
        <v>4</v>
      </c>
      <c r="B14" s="641" t="s">
        <v>3457</v>
      </c>
      <c r="C14" s="642" t="s">
        <v>3469</v>
      </c>
      <c r="D14" s="643" t="s">
        <v>3459</v>
      </c>
    </row>
    <row r="15" spans="1:4" x14ac:dyDescent="0.25">
      <c r="A15" s="941"/>
      <c r="B15" s="644" t="s">
        <v>3460</v>
      </c>
      <c r="C15" s="645" t="s">
        <v>870</v>
      </c>
      <c r="D15" s="946" t="s">
        <v>3470</v>
      </c>
    </row>
    <row r="16" spans="1:4" x14ac:dyDescent="0.25">
      <c r="A16" s="941"/>
      <c r="B16" s="644" t="s">
        <v>3462</v>
      </c>
      <c r="C16" s="645" t="s">
        <v>3463</v>
      </c>
      <c r="D16" s="947"/>
    </row>
    <row r="17" spans="1:4" ht="15.75" thickBot="1" x14ac:dyDescent="0.3">
      <c r="A17" s="942"/>
      <c r="B17" s="646" t="s">
        <v>3464</v>
      </c>
      <c r="C17" s="647" t="s">
        <v>56</v>
      </c>
      <c r="D17" s="948"/>
    </row>
    <row r="18" spans="1:4" x14ac:dyDescent="0.25">
      <c r="A18" s="940">
        <v>5</v>
      </c>
      <c r="B18" s="641" t="s">
        <v>3457</v>
      </c>
      <c r="C18" s="642" t="s">
        <v>3471</v>
      </c>
      <c r="D18" s="643" t="s">
        <v>3459</v>
      </c>
    </row>
    <row r="19" spans="1:4" x14ac:dyDescent="0.25">
      <c r="A19" s="941"/>
      <c r="B19" s="644" t="s">
        <v>3460</v>
      </c>
      <c r="C19" s="645" t="s">
        <v>2869</v>
      </c>
      <c r="D19" s="946" t="s">
        <v>3472</v>
      </c>
    </row>
    <row r="20" spans="1:4" x14ac:dyDescent="0.25">
      <c r="A20" s="941"/>
      <c r="B20" s="644" t="s">
        <v>3462</v>
      </c>
      <c r="C20" s="645" t="s">
        <v>3463</v>
      </c>
      <c r="D20" s="947"/>
    </row>
    <row r="21" spans="1:4" ht="15.75" thickBot="1" x14ac:dyDescent="0.3">
      <c r="A21" s="942"/>
      <c r="B21" s="646" t="s">
        <v>3464</v>
      </c>
      <c r="C21" s="647" t="s">
        <v>56</v>
      </c>
      <c r="D21" s="948"/>
    </row>
    <row r="22" spans="1:4" x14ac:dyDescent="0.25">
      <c r="A22" s="940">
        <v>6</v>
      </c>
      <c r="B22" s="641" t="s">
        <v>3457</v>
      </c>
      <c r="C22" s="642" t="s">
        <v>3473</v>
      </c>
      <c r="D22" s="643" t="s">
        <v>3459</v>
      </c>
    </row>
    <row r="23" spans="1:4" ht="22.5" x14ac:dyDescent="0.25">
      <c r="A23" s="941"/>
      <c r="B23" s="644" t="s">
        <v>3460</v>
      </c>
      <c r="C23" s="645" t="s">
        <v>820</v>
      </c>
      <c r="D23" s="946" t="s">
        <v>3474</v>
      </c>
    </row>
    <row r="24" spans="1:4" x14ac:dyDescent="0.25">
      <c r="A24" s="941"/>
      <c r="B24" s="644" t="s">
        <v>3462</v>
      </c>
      <c r="C24" s="645" t="s">
        <v>3463</v>
      </c>
      <c r="D24" s="947"/>
    </row>
    <row r="25" spans="1:4" ht="15.75" thickBot="1" x14ac:dyDescent="0.3">
      <c r="A25" s="942"/>
      <c r="B25" s="646" t="s">
        <v>3464</v>
      </c>
      <c r="C25" s="647" t="s">
        <v>56</v>
      </c>
      <c r="D25" s="948"/>
    </row>
    <row r="26" spans="1:4" x14ac:dyDescent="0.25">
      <c r="A26" s="940">
        <v>7</v>
      </c>
      <c r="B26" s="641" t="s">
        <v>3457</v>
      </c>
      <c r="C26" s="642" t="s">
        <v>3475</v>
      </c>
      <c r="D26" s="643" t="s">
        <v>3459</v>
      </c>
    </row>
    <row r="27" spans="1:4" ht="22.5" x14ac:dyDescent="0.25">
      <c r="A27" s="941"/>
      <c r="B27" s="644" t="s">
        <v>3460</v>
      </c>
      <c r="C27" s="645" t="s">
        <v>873</v>
      </c>
      <c r="D27" s="946" t="s">
        <v>1338</v>
      </c>
    </row>
    <row r="28" spans="1:4" x14ac:dyDescent="0.25">
      <c r="A28" s="941"/>
      <c r="B28" s="644" t="s">
        <v>3462</v>
      </c>
      <c r="C28" s="645" t="s">
        <v>3463</v>
      </c>
      <c r="D28" s="947"/>
    </row>
    <row r="29" spans="1:4" ht="15.75" thickBot="1" x14ac:dyDescent="0.3">
      <c r="A29" s="942"/>
      <c r="B29" s="646" t="s">
        <v>3464</v>
      </c>
      <c r="C29" s="647" t="s">
        <v>56</v>
      </c>
      <c r="D29" s="948"/>
    </row>
    <row r="30" spans="1:4" x14ac:dyDescent="0.25">
      <c r="A30" s="940">
        <v>8</v>
      </c>
      <c r="B30" s="641" t="s">
        <v>3457</v>
      </c>
      <c r="C30" s="642" t="s">
        <v>3476</v>
      </c>
      <c r="D30" s="643" t="s">
        <v>3459</v>
      </c>
    </row>
    <row r="31" spans="1:4" x14ac:dyDescent="0.25">
      <c r="A31" s="941"/>
      <c r="B31" s="644" t="s">
        <v>3460</v>
      </c>
      <c r="C31" s="645" t="s">
        <v>846</v>
      </c>
      <c r="D31" s="946" t="s">
        <v>3477</v>
      </c>
    </row>
    <row r="32" spans="1:4" x14ac:dyDescent="0.25">
      <c r="A32" s="941"/>
      <c r="B32" s="644" t="s">
        <v>3462</v>
      </c>
      <c r="C32" s="645" t="s">
        <v>3463</v>
      </c>
      <c r="D32" s="947"/>
    </row>
    <row r="33" spans="1:4" ht="15.75" thickBot="1" x14ac:dyDescent="0.3">
      <c r="A33" s="942"/>
      <c r="B33" s="646" t="s">
        <v>3464</v>
      </c>
      <c r="C33" s="647" t="s">
        <v>56</v>
      </c>
      <c r="D33" s="948"/>
    </row>
    <row r="34" spans="1:4" x14ac:dyDescent="0.25">
      <c r="A34" s="940">
        <v>9</v>
      </c>
      <c r="B34" s="641" t="s">
        <v>3457</v>
      </c>
      <c r="C34" s="642" t="s">
        <v>3478</v>
      </c>
      <c r="D34" s="643" t="s">
        <v>3459</v>
      </c>
    </row>
    <row r="35" spans="1:4" x14ac:dyDescent="0.25">
      <c r="A35" s="941"/>
      <c r="B35" s="644" t="s">
        <v>3460</v>
      </c>
      <c r="C35" s="645" t="s">
        <v>2810</v>
      </c>
      <c r="D35" s="946" t="s">
        <v>3479</v>
      </c>
    </row>
    <row r="36" spans="1:4" x14ac:dyDescent="0.25">
      <c r="A36" s="941"/>
      <c r="B36" s="644" t="s">
        <v>3462</v>
      </c>
      <c r="C36" s="645" t="s">
        <v>3463</v>
      </c>
      <c r="D36" s="947"/>
    </row>
    <row r="37" spans="1:4" ht="15.75" thickBot="1" x14ac:dyDescent="0.3">
      <c r="A37" s="942"/>
      <c r="B37" s="646" t="s">
        <v>3464</v>
      </c>
      <c r="C37" s="647" t="s">
        <v>56</v>
      </c>
      <c r="D37" s="948"/>
    </row>
    <row r="38" spans="1:4" x14ac:dyDescent="0.25">
      <c r="A38" s="940">
        <v>10</v>
      </c>
      <c r="B38" s="641" t="s">
        <v>3457</v>
      </c>
      <c r="C38" s="642" t="s">
        <v>3480</v>
      </c>
      <c r="D38" s="643" t="s">
        <v>3459</v>
      </c>
    </row>
    <row r="39" spans="1:4" ht="22.5" x14ac:dyDescent="0.25">
      <c r="A39" s="941"/>
      <c r="B39" s="644" t="s">
        <v>3460</v>
      </c>
      <c r="C39" s="645" t="s">
        <v>515</v>
      </c>
      <c r="D39" s="946" t="s">
        <v>3481</v>
      </c>
    </row>
    <row r="40" spans="1:4" x14ac:dyDescent="0.25">
      <c r="A40" s="941"/>
      <c r="B40" s="644" t="s">
        <v>3462</v>
      </c>
      <c r="C40" s="645" t="s">
        <v>3482</v>
      </c>
      <c r="D40" s="947"/>
    </row>
    <row r="41" spans="1:4" ht="15.75" thickBot="1" x14ac:dyDescent="0.3">
      <c r="A41" s="942"/>
      <c r="B41" s="646" t="s">
        <v>3464</v>
      </c>
      <c r="C41" s="647" t="s">
        <v>160</v>
      </c>
      <c r="D41" s="948"/>
    </row>
    <row r="42" spans="1:4" x14ac:dyDescent="0.25">
      <c r="A42" s="940">
        <v>11</v>
      </c>
      <c r="B42" s="641" t="s">
        <v>3457</v>
      </c>
      <c r="C42" s="642" t="s">
        <v>3483</v>
      </c>
      <c r="D42" s="643" t="s">
        <v>3459</v>
      </c>
    </row>
    <row r="43" spans="1:4" ht="33.75" x14ac:dyDescent="0.25">
      <c r="A43" s="941"/>
      <c r="B43" s="644" t="s">
        <v>3460</v>
      </c>
      <c r="C43" s="645" t="s">
        <v>516</v>
      </c>
      <c r="D43" s="946" t="s">
        <v>1123</v>
      </c>
    </row>
    <row r="44" spans="1:4" x14ac:dyDescent="0.25">
      <c r="A44" s="941"/>
      <c r="B44" s="644" t="s">
        <v>3462</v>
      </c>
      <c r="C44" s="645" t="s">
        <v>3482</v>
      </c>
      <c r="D44" s="947"/>
    </row>
    <row r="45" spans="1:4" ht="15.75" thickBot="1" x14ac:dyDescent="0.3">
      <c r="A45" s="942"/>
      <c r="B45" s="646" t="s">
        <v>3464</v>
      </c>
      <c r="C45" s="647" t="s">
        <v>92</v>
      </c>
      <c r="D45" s="948"/>
    </row>
    <row r="46" spans="1:4" x14ac:dyDescent="0.25">
      <c r="A46" s="940">
        <v>12</v>
      </c>
      <c r="B46" s="641" t="s">
        <v>3457</v>
      </c>
      <c r="C46" s="642" t="s">
        <v>3484</v>
      </c>
      <c r="D46" s="643" t="s">
        <v>3459</v>
      </c>
    </row>
    <row r="47" spans="1:4" ht="33.75" x14ac:dyDescent="0.25">
      <c r="A47" s="941"/>
      <c r="B47" s="644" t="s">
        <v>3460</v>
      </c>
      <c r="C47" s="645" t="s">
        <v>518</v>
      </c>
      <c r="D47" s="946" t="s">
        <v>1125</v>
      </c>
    </row>
    <row r="48" spans="1:4" x14ac:dyDescent="0.25">
      <c r="A48" s="941"/>
      <c r="B48" s="644" t="s">
        <v>3462</v>
      </c>
      <c r="C48" s="645" t="s">
        <v>3482</v>
      </c>
      <c r="D48" s="947"/>
    </row>
    <row r="49" spans="1:4" ht="15.75" thickBot="1" x14ac:dyDescent="0.3">
      <c r="A49" s="942"/>
      <c r="B49" s="646" t="s">
        <v>3464</v>
      </c>
      <c r="C49" s="647" t="s">
        <v>92</v>
      </c>
      <c r="D49" s="948"/>
    </row>
    <row r="50" spans="1:4" x14ac:dyDescent="0.25">
      <c r="A50" s="940">
        <v>13</v>
      </c>
      <c r="B50" s="641" t="s">
        <v>3457</v>
      </c>
      <c r="C50" s="642" t="s">
        <v>3485</v>
      </c>
      <c r="D50" s="643" t="s">
        <v>3459</v>
      </c>
    </row>
    <row r="51" spans="1:4" ht="33.75" x14ac:dyDescent="0.25">
      <c r="A51" s="941"/>
      <c r="B51" s="644" t="s">
        <v>3460</v>
      </c>
      <c r="C51" s="645" t="s">
        <v>520</v>
      </c>
      <c r="D51" s="946" t="s">
        <v>1126</v>
      </c>
    </row>
    <row r="52" spans="1:4" x14ac:dyDescent="0.25">
      <c r="A52" s="941"/>
      <c r="B52" s="644" t="s">
        <v>3462</v>
      </c>
      <c r="C52" s="645" t="s">
        <v>3482</v>
      </c>
      <c r="D52" s="947"/>
    </row>
    <row r="53" spans="1:4" ht="15.75" thickBot="1" x14ac:dyDescent="0.3">
      <c r="A53" s="942"/>
      <c r="B53" s="646" t="s">
        <v>3464</v>
      </c>
      <c r="C53" s="647" t="s">
        <v>92</v>
      </c>
      <c r="D53" s="948"/>
    </row>
    <row r="54" spans="1:4" x14ac:dyDescent="0.25">
      <c r="A54" s="940">
        <v>14</v>
      </c>
      <c r="B54" s="641" t="s">
        <v>3457</v>
      </c>
      <c r="C54" s="642" t="s">
        <v>3486</v>
      </c>
      <c r="D54" s="643" t="s">
        <v>3459</v>
      </c>
    </row>
    <row r="55" spans="1:4" ht="33.75" x14ac:dyDescent="0.25">
      <c r="A55" s="941"/>
      <c r="B55" s="644" t="s">
        <v>3460</v>
      </c>
      <c r="C55" s="645" t="s">
        <v>522</v>
      </c>
      <c r="D55" s="946" t="s">
        <v>1127</v>
      </c>
    </row>
    <row r="56" spans="1:4" x14ac:dyDescent="0.25">
      <c r="A56" s="941"/>
      <c r="B56" s="644" t="s">
        <v>3462</v>
      </c>
      <c r="C56" s="645" t="s">
        <v>3482</v>
      </c>
      <c r="D56" s="947"/>
    </row>
    <row r="57" spans="1:4" ht="15.75" thickBot="1" x14ac:dyDescent="0.3">
      <c r="A57" s="942"/>
      <c r="B57" s="646" t="s">
        <v>3464</v>
      </c>
      <c r="C57" s="647" t="s">
        <v>92</v>
      </c>
      <c r="D57" s="948"/>
    </row>
    <row r="58" spans="1:4" x14ac:dyDescent="0.25">
      <c r="A58" s="940">
        <v>15</v>
      </c>
      <c r="B58" s="641" t="s">
        <v>3457</v>
      </c>
      <c r="C58" s="642" t="s">
        <v>3487</v>
      </c>
      <c r="D58" s="643" t="s">
        <v>3459</v>
      </c>
    </row>
    <row r="59" spans="1:4" ht="33.75" x14ac:dyDescent="0.25">
      <c r="A59" s="941"/>
      <c r="B59" s="644" t="s">
        <v>3460</v>
      </c>
      <c r="C59" s="645" t="s">
        <v>524</v>
      </c>
      <c r="D59" s="946" t="s">
        <v>1128</v>
      </c>
    </row>
    <row r="60" spans="1:4" x14ac:dyDescent="0.25">
      <c r="A60" s="941"/>
      <c r="B60" s="644" t="s">
        <v>3462</v>
      </c>
      <c r="C60" s="645" t="s">
        <v>3482</v>
      </c>
      <c r="D60" s="947"/>
    </row>
    <row r="61" spans="1:4" ht="15.75" thickBot="1" x14ac:dyDescent="0.3">
      <c r="A61" s="942"/>
      <c r="B61" s="646" t="s">
        <v>3464</v>
      </c>
      <c r="C61" s="647" t="s">
        <v>92</v>
      </c>
      <c r="D61" s="948"/>
    </row>
    <row r="62" spans="1:4" x14ac:dyDescent="0.25">
      <c r="A62" s="940">
        <v>16</v>
      </c>
      <c r="B62" s="641" t="s">
        <v>3457</v>
      </c>
      <c r="C62" s="642" t="s">
        <v>3488</v>
      </c>
      <c r="D62" s="643" t="s">
        <v>3459</v>
      </c>
    </row>
    <row r="63" spans="1:4" x14ac:dyDescent="0.25">
      <c r="A63" s="941"/>
      <c r="B63" s="644" t="s">
        <v>3460</v>
      </c>
      <c r="C63" s="645" t="s">
        <v>2755</v>
      </c>
      <c r="D63" s="946" t="s">
        <v>1190</v>
      </c>
    </row>
    <row r="64" spans="1:4" x14ac:dyDescent="0.25">
      <c r="A64" s="941"/>
      <c r="B64" s="644" t="s">
        <v>3462</v>
      </c>
      <c r="C64" s="645" t="s">
        <v>3489</v>
      </c>
      <c r="D64" s="947"/>
    </row>
    <row r="65" spans="1:4" ht="15.75" thickBot="1" x14ac:dyDescent="0.3">
      <c r="A65" s="942"/>
      <c r="B65" s="646" t="s">
        <v>3464</v>
      </c>
      <c r="C65" s="647" t="s">
        <v>159</v>
      </c>
      <c r="D65" s="948"/>
    </row>
    <row r="66" spans="1:4" x14ac:dyDescent="0.25">
      <c r="A66" s="940">
        <v>17</v>
      </c>
      <c r="B66" s="641" t="s">
        <v>3457</v>
      </c>
      <c r="C66" s="642" t="s">
        <v>3490</v>
      </c>
      <c r="D66" s="643" t="s">
        <v>3459</v>
      </c>
    </row>
    <row r="67" spans="1:4" ht="22.5" x14ac:dyDescent="0.25">
      <c r="A67" s="941"/>
      <c r="B67" s="644" t="s">
        <v>3460</v>
      </c>
      <c r="C67" s="645" t="s">
        <v>587</v>
      </c>
      <c r="D67" s="946" t="s">
        <v>1131</v>
      </c>
    </row>
    <row r="68" spans="1:4" x14ac:dyDescent="0.25">
      <c r="A68" s="941"/>
      <c r="B68" s="644" t="s">
        <v>3462</v>
      </c>
      <c r="C68" s="645" t="s">
        <v>3482</v>
      </c>
      <c r="D68" s="947"/>
    </row>
    <row r="69" spans="1:4" ht="15.75" thickBot="1" x14ac:dyDescent="0.3">
      <c r="A69" s="942"/>
      <c r="B69" s="646" t="s">
        <v>3464</v>
      </c>
      <c r="C69" s="647" t="s">
        <v>159</v>
      </c>
      <c r="D69" s="948"/>
    </row>
    <row r="70" spans="1:4" x14ac:dyDescent="0.25">
      <c r="A70" s="940">
        <v>18</v>
      </c>
      <c r="B70" s="641" t="s">
        <v>3457</v>
      </c>
      <c r="C70" s="642" t="s">
        <v>3491</v>
      </c>
      <c r="D70" s="643" t="s">
        <v>3459</v>
      </c>
    </row>
    <row r="71" spans="1:4" ht="22.5" x14ac:dyDescent="0.25">
      <c r="A71" s="941"/>
      <c r="B71" s="644" t="s">
        <v>3460</v>
      </c>
      <c r="C71" s="645" t="s">
        <v>592</v>
      </c>
      <c r="D71" s="946" t="s">
        <v>1143</v>
      </c>
    </row>
    <row r="72" spans="1:4" x14ac:dyDescent="0.25">
      <c r="A72" s="941"/>
      <c r="B72" s="644" t="s">
        <v>3462</v>
      </c>
      <c r="C72" s="645" t="s">
        <v>3482</v>
      </c>
      <c r="D72" s="947"/>
    </row>
    <row r="73" spans="1:4" ht="15.75" thickBot="1" x14ac:dyDescent="0.3">
      <c r="A73" s="942"/>
      <c r="B73" s="646" t="s">
        <v>3464</v>
      </c>
      <c r="C73" s="647" t="s">
        <v>92</v>
      </c>
      <c r="D73" s="948"/>
    </row>
    <row r="74" spans="1:4" x14ac:dyDescent="0.25">
      <c r="A74" s="940">
        <v>19</v>
      </c>
      <c r="B74" s="641" t="s">
        <v>3457</v>
      </c>
      <c r="C74" s="642" t="s">
        <v>3492</v>
      </c>
      <c r="D74" s="643" t="s">
        <v>3459</v>
      </c>
    </row>
    <row r="75" spans="1:4" x14ac:dyDescent="0.25">
      <c r="A75" s="941"/>
      <c r="B75" s="644" t="s">
        <v>3460</v>
      </c>
      <c r="C75" s="645" t="s">
        <v>594</v>
      </c>
      <c r="D75" s="946" t="s">
        <v>3493</v>
      </c>
    </row>
    <row r="76" spans="1:4" x14ac:dyDescent="0.25">
      <c r="A76" s="941"/>
      <c r="B76" s="644" t="s">
        <v>3462</v>
      </c>
      <c r="C76" s="645" t="s">
        <v>3482</v>
      </c>
      <c r="D76" s="947"/>
    </row>
    <row r="77" spans="1:4" ht="15.75" thickBot="1" x14ac:dyDescent="0.3">
      <c r="A77" s="942"/>
      <c r="B77" s="646" t="s">
        <v>3464</v>
      </c>
      <c r="C77" s="647" t="s">
        <v>92</v>
      </c>
      <c r="D77" s="948"/>
    </row>
    <row r="78" spans="1:4" x14ac:dyDescent="0.25">
      <c r="A78" s="940">
        <v>20</v>
      </c>
      <c r="B78" s="641" t="s">
        <v>3457</v>
      </c>
      <c r="C78" s="642" t="s">
        <v>3494</v>
      </c>
      <c r="D78" s="643" t="s">
        <v>3459</v>
      </c>
    </row>
    <row r="79" spans="1:4" x14ac:dyDescent="0.25">
      <c r="A79" s="941"/>
      <c r="B79" s="644" t="s">
        <v>3460</v>
      </c>
      <c r="C79" s="645" t="s">
        <v>2103</v>
      </c>
      <c r="D79" s="946" t="s">
        <v>2104</v>
      </c>
    </row>
    <row r="80" spans="1:4" x14ac:dyDescent="0.25">
      <c r="A80" s="941"/>
      <c r="B80" s="644" t="s">
        <v>3462</v>
      </c>
      <c r="C80" s="645" t="s">
        <v>3495</v>
      </c>
      <c r="D80" s="947"/>
    </row>
    <row r="81" spans="1:4" ht="15.75" thickBot="1" x14ac:dyDescent="0.3">
      <c r="A81" s="942"/>
      <c r="B81" s="646" t="s">
        <v>3464</v>
      </c>
      <c r="C81" s="647" t="s">
        <v>159</v>
      </c>
      <c r="D81" s="948"/>
    </row>
    <row r="82" spans="1:4" x14ac:dyDescent="0.25">
      <c r="A82" s="940">
        <v>21</v>
      </c>
      <c r="B82" s="641" t="s">
        <v>3457</v>
      </c>
      <c r="C82" s="642" t="s">
        <v>3496</v>
      </c>
      <c r="D82" s="643" t="s">
        <v>3459</v>
      </c>
    </row>
    <row r="83" spans="1:4" x14ac:dyDescent="0.25">
      <c r="A83" s="941"/>
      <c r="B83" s="644" t="s">
        <v>3460</v>
      </c>
      <c r="C83" s="645" t="s">
        <v>639</v>
      </c>
      <c r="D83" s="946" t="s">
        <v>3497</v>
      </c>
    </row>
    <row r="84" spans="1:4" x14ac:dyDescent="0.25">
      <c r="A84" s="941"/>
      <c r="B84" s="644" t="s">
        <v>3462</v>
      </c>
      <c r="C84" s="645" t="s">
        <v>3498</v>
      </c>
      <c r="D84" s="947"/>
    </row>
    <row r="85" spans="1:4" ht="15.75" thickBot="1" x14ac:dyDescent="0.3">
      <c r="A85" s="942"/>
      <c r="B85" s="646" t="s">
        <v>3464</v>
      </c>
      <c r="C85" s="647" t="s">
        <v>160</v>
      </c>
      <c r="D85" s="948"/>
    </row>
    <row r="86" spans="1:4" x14ac:dyDescent="0.25">
      <c r="A86" s="940">
        <v>22</v>
      </c>
      <c r="B86" s="641" t="s">
        <v>3457</v>
      </c>
      <c r="C86" s="642" t="s">
        <v>3499</v>
      </c>
      <c r="D86" s="643" t="s">
        <v>3459</v>
      </c>
    </row>
    <row r="87" spans="1:4" ht="33.75" x14ac:dyDescent="0.25">
      <c r="A87" s="941"/>
      <c r="B87" s="644" t="s">
        <v>3460</v>
      </c>
      <c r="C87" s="645" t="s">
        <v>813</v>
      </c>
      <c r="D87" s="946" t="s">
        <v>1240</v>
      </c>
    </row>
    <row r="88" spans="1:4" x14ac:dyDescent="0.25">
      <c r="A88" s="941"/>
      <c r="B88" s="644" t="s">
        <v>3462</v>
      </c>
      <c r="C88" s="645" t="s">
        <v>3500</v>
      </c>
      <c r="D88" s="947"/>
    </row>
    <row r="89" spans="1:4" ht="15.75" thickBot="1" x14ac:dyDescent="0.3">
      <c r="A89" s="942"/>
      <c r="B89" s="646" t="s">
        <v>3464</v>
      </c>
      <c r="C89" s="647" t="s">
        <v>56</v>
      </c>
      <c r="D89" s="948"/>
    </row>
    <row r="90" spans="1:4" x14ac:dyDescent="0.25">
      <c r="A90" s="940">
        <v>23</v>
      </c>
      <c r="B90" s="641" t="s">
        <v>3457</v>
      </c>
      <c r="C90" s="642" t="s">
        <v>3501</v>
      </c>
      <c r="D90" s="643" t="s">
        <v>3459</v>
      </c>
    </row>
    <row r="91" spans="1:4" x14ac:dyDescent="0.25">
      <c r="A91" s="941"/>
      <c r="B91" s="644" t="s">
        <v>3460</v>
      </c>
      <c r="C91" s="645" t="s">
        <v>643</v>
      </c>
      <c r="D91" s="946" t="s">
        <v>1141</v>
      </c>
    </row>
    <row r="92" spans="1:4" x14ac:dyDescent="0.25">
      <c r="A92" s="941"/>
      <c r="B92" s="644" t="s">
        <v>3462</v>
      </c>
      <c r="C92" s="645" t="s">
        <v>3502</v>
      </c>
      <c r="D92" s="947"/>
    </row>
    <row r="93" spans="1:4" ht="15.75" thickBot="1" x14ac:dyDescent="0.3">
      <c r="A93" s="942"/>
      <c r="B93" s="646" t="s">
        <v>3464</v>
      </c>
      <c r="C93" s="647" t="s">
        <v>160</v>
      </c>
      <c r="D93" s="948"/>
    </row>
    <row r="94" spans="1:4" x14ac:dyDescent="0.25">
      <c r="A94" s="940">
        <v>24</v>
      </c>
      <c r="B94" s="641" t="s">
        <v>3457</v>
      </c>
      <c r="C94" s="642" t="s">
        <v>3503</v>
      </c>
      <c r="D94" s="643" t="s">
        <v>3459</v>
      </c>
    </row>
    <row r="95" spans="1:4" ht="33.75" x14ac:dyDescent="0.25">
      <c r="A95" s="941"/>
      <c r="B95" s="644" t="s">
        <v>3460</v>
      </c>
      <c r="C95" s="645" t="s">
        <v>2743</v>
      </c>
      <c r="D95" s="946" t="s">
        <v>1238</v>
      </c>
    </row>
    <row r="96" spans="1:4" x14ac:dyDescent="0.25">
      <c r="A96" s="941"/>
      <c r="B96" s="644" t="s">
        <v>3462</v>
      </c>
      <c r="C96" s="645" t="s">
        <v>3489</v>
      </c>
      <c r="D96" s="947"/>
    </row>
    <row r="97" spans="1:4" ht="15.75" thickBot="1" x14ac:dyDescent="0.3">
      <c r="A97" s="942"/>
      <c r="B97" s="646" t="s">
        <v>3464</v>
      </c>
      <c r="C97" s="647" t="s">
        <v>159</v>
      </c>
      <c r="D97" s="948"/>
    </row>
    <row r="98" spans="1:4" x14ac:dyDescent="0.25">
      <c r="A98" s="940">
        <v>25</v>
      </c>
      <c r="B98" s="641" t="s">
        <v>3457</v>
      </c>
      <c r="C98" s="642" t="s">
        <v>3504</v>
      </c>
      <c r="D98" s="643" t="s">
        <v>3459</v>
      </c>
    </row>
    <row r="99" spans="1:4" ht="22.5" x14ac:dyDescent="0.25">
      <c r="A99" s="941"/>
      <c r="B99" s="644" t="s">
        <v>3460</v>
      </c>
      <c r="C99" s="645" t="s">
        <v>788</v>
      </c>
      <c r="D99" s="946" t="s">
        <v>1168</v>
      </c>
    </row>
    <row r="100" spans="1:4" x14ac:dyDescent="0.25">
      <c r="A100" s="941"/>
      <c r="B100" s="644" t="s">
        <v>3462</v>
      </c>
      <c r="C100" s="645" t="s">
        <v>3500</v>
      </c>
      <c r="D100" s="947"/>
    </row>
    <row r="101" spans="1:4" ht="15.75" thickBot="1" x14ac:dyDescent="0.3">
      <c r="A101" s="942"/>
      <c r="B101" s="646" t="s">
        <v>3464</v>
      </c>
      <c r="C101" s="647" t="s">
        <v>56</v>
      </c>
      <c r="D101" s="948"/>
    </row>
    <row r="102" spans="1:4" x14ac:dyDescent="0.25">
      <c r="A102" s="940">
        <v>26</v>
      </c>
      <c r="B102" s="641" t="s">
        <v>3457</v>
      </c>
      <c r="C102" s="642" t="s">
        <v>3505</v>
      </c>
      <c r="D102" s="643" t="s">
        <v>3459</v>
      </c>
    </row>
    <row r="103" spans="1:4" ht="22.5" x14ac:dyDescent="0.25">
      <c r="A103" s="941"/>
      <c r="B103" s="644" t="s">
        <v>3460</v>
      </c>
      <c r="C103" s="645" t="s">
        <v>790</v>
      </c>
      <c r="D103" s="946" t="s">
        <v>1168</v>
      </c>
    </row>
    <row r="104" spans="1:4" x14ac:dyDescent="0.25">
      <c r="A104" s="941"/>
      <c r="B104" s="644" t="s">
        <v>3462</v>
      </c>
      <c r="C104" s="645" t="s">
        <v>3500</v>
      </c>
      <c r="D104" s="947"/>
    </row>
    <row r="105" spans="1:4" ht="15.75" thickBot="1" x14ac:dyDescent="0.3">
      <c r="A105" s="942"/>
      <c r="B105" s="646" t="s">
        <v>3464</v>
      </c>
      <c r="C105" s="647" t="s">
        <v>56</v>
      </c>
      <c r="D105" s="948"/>
    </row>
    <row r="106" spans="1:4" x14ac:dyDescent="0.25">
      <c r="A106" s="940">
        <v>27</v>
      </c>
      <c r="B106" s="641" t="s">
        <v>3457</v>
      </c>
      <c r="C106" s="642" t="s">
        <v>3506</v>
      </c>
      <c r="D106" s="643" t="s">
        <v>3459</v>
      </c>
    </row>
    <row r="107" spans="1:4" ht="22.5" x14ac:dyDescent="0.25">
      <c r="A107" s="941"/>
      <c r="B107" s="644" t="s">
        <v>3460</v>
      </c>
      <c r="C107" s="645" t="s">
        <v>816</v>
      </c>
      <c r="D107" s="946" t="s">
        <v>1154</v>
      </c>
    </row>
    <row r="108" spans="1:4" x14ac:dyDescent="0.25">
      <c r="A108" s="941"/>
      <c r="B108" s="644" t="s">
        <v>3462</v>
      </c>
      <c r="C108" s="645" t="s">
        <v>3507</v>
      </c>
      <c r="D108" s="947"/>
    </row>
    <row r="109" spans="1:4" ht="15.75" thickBot="1" x14ac:dyDescent="0.3">
      <c r="A109" s="942"/>
      <c r="B109" s="646" t="s">
        <v>3464</v>
      </c>
      <c r="C109" s="647" t="s">
        <v>159</v>
      </c>
      <c r="D109" s="948"/>
    </row>
    <row r="110" spans="1:4" x14ac:dyDescent="0.25">
      <c r="A110" s="940">
        <v>28</v>
      </c>
      <c r="B110" s="641" t="s">
        <v>3457</v>
      </c>
      <c r="C110" s="642" t="s">
        <v>3508</v>
      </c>
      <c r="D110" s="643" t="s">
        <v>3459</v>
      </c>
    </row>
    <row r="111" spans="1:4" ht="22.5" x14ac:dyDescent="0.25">
      <c r="A111" s="941"/>
      <c r="B111" s="644" t="s">
        <v>3460</v>
      </c>
      <c r="C111" s="645" t="s">
        <v>1345</v>
      </c>
      <c r="D111" s="946" t="s">
        <v>3509</v>
      </c>
    </row>
    <row r="112" spans="1:4" x14ac:dyDescent="0.25">
      <c r="A112" s="941"/>
      <c r="B112" s="644" t="s">
        <v>3462</v>
      </c>
      <c r="C112" s="645" t="s">
        <v>3482</v>
      </c>
      <c r="D112" s="947"/>
    </row>
    <row r="113" spans="1:4" ht="15.75" thickBot="1" x14ac:dyDescent="0.3">
      <c r="A113" s="942"/>
      <c r="B113" s="646" t="s">
        <v>3464</v>
      </c>
      <c r="C113" s="647" t="s">
        <v>159</v>
      </c>
      <c r="D113" s="948"/>
    </row>
    <row r="114" spans="1:4" x14ac:dyDescent="0.25">
      <c r="A114" s="940">
        <v>29</v>
      </c>
      <c r="B114" s="641" t="s">
        <v>3457</v>
      </c>
      <c r="C114" s="642" t="s">
        <v>3510</v>
      </c>
      <c r="D114" s="643" t="s">
        <v>3459</v>
      </c>
    </row>
    <row r="115" spans="1:4" x14ac:dyDescent="0.25">
      <c r="A115" s="941"/>
      <c r="B115" s="644" t="s">
        <v>3460</v>
      </c>
      <c r="C115" s="645" t="s">
        <v>1346</v>
      </c>
      <c r="D115" s="946" t="s">
        <v>3511</v>
      </c>
    </row>
    <row r="116" spans="1:4" x14ac:dyDescent="0.25">
      <c r="A116" s="941"/>
      <c r="B116" s="644" t="s">
        <v>3462</v>
      </c>
      <c r="C116" s="645" t="s">
        <v>3512</v>
      </c>
      <c r="D116" s="947"/>
    </row>
    <row r="117" spans="1:4" ht="15.75" thickBot="1" x14ac:dyDescent="0.3">
      <c r="A117" s="942"/>
      <c r="B117" s="646" t="s">
        <v>3464</v>
      </c>
      <c r="C117" s="647" t="s">
        <v>99</v>
      </c>
      <c r="D117" s="948"/>
    </row>
    <row r="118" spans="1:4" x14ac:dyDescent="0.25">
      <c r="A118" s="940">
        <v>30</v>
      </c>
      <c r="B118" s="641" t="s">
        <v>3457</v>
      </c>
      <c r="C118" s="642" t="s">
        <v>3513</v>
      </c>
      <c r="D118" s="643" t="s">
        <v>3459</v>
      </c>
    </row>
    <row r="119" spans="1:4" x14ac:dyDescent="0.25">
      <c r="A119" s="941"/>
      <c r="B119" s="644" t="s">
        <v>3460</v>
      </c>
      <c r="C119" s="645" t="s">
        <v>912</v>
      </c>
      <c r="D119" s="946" t="s">
        <v>1360</v>
      </c>
    </row>
    <row r="120" spans="1:4" x14ac:dyDescent="0.25">
      <c r="A120" s="941"/>
      <c r="B120" s="644" t="s">
        <v>3462</v>
      </c>
      <c r="C120" s="645" t="s">
        <v>3502</v>
      </c>
      <c r="D120" s="947"/>
    </row>
    <row r="121" spans="1:4" ht="15.75" thickBot="1" x14ac:dyDescent="0.3">
      <c r="A121" s="942"/>
      <c r="B121" s="646" t="s">
        <v>3464</v>
      </c>
      <c r="C121" s="647" t="s">
        <v>56</v>
      </c>
      <c r="D121" s="948"/>
    </row>
    <row r="122" spans="1:4" x14ac:dyDescent="0.25">
      <c r="A122" s="940">
        <v>31</v>
      </c>
      <c r="B122" s="641" t="s">
        <v>3457</v>
      </c>
      <c r="C122" s="642" t="s">
        <v>3514</v>
      </c>
      <c r="D122" s="643" t="s">
        <v>3459</v>
      </c>
    </row>
    <row r="123" spans="1:4" x14ac:dyDescent="0.25">
      <c r="A123" s="941"/>
      <c r="B123" s="644" t="s">
        <v>3460</v>
      </c>
      <c r="C123" s="645" t="s">
        <v>801</v>
      </c>
      <c r="D123" s="946" t="s">
        <v>1259</v>
      </c>
    </row>
    <row r="124" spans="1:4" x14ac:dyDescent="0.25">
      <c r="A124" s="941"/>
      <c r="B124" s="644" t="s">
        <v>3462</v>
      </c>
      <c r="C124" s="645" t="s">
        <v>3502</v>
      </c>
      <c r="D124" s="947"/>
    </row>
    <row r="125" spans="1:4" ht="15.75" thickBot="1" x14ac:dyDescent="0.3">
      <c r="A125" s="942"/>
      <c r="B125" s="646" t="s">
        <v>3464</v>
      </c>
      <c r="C125" s="647" t="s">
        <v>56</v>
      </c>
      <c r="D125" s="948"/>
    </row>
    <row r="126" spans="1:4" x14ac:dyDescent="0.25">
      <c r="A126" s="940">
        <v>32</v>
      </c>
      <c r="B126" s="641" t="s">
        <v>3457</v>
      </c>
      <c r="C126" s="642" t="s">
        <v>3515</v>
      </c>
      <c r="D126" s="643" t="s">
        <v>3459</v>
      </c>
    </row>
    <row r="127" spans="1:4" x14ac:dyDescent="0.25">
      <c r="A127" s="941"/>
      <c r="B127" s="644" t="s">
        <v>3460</v>
      </c>
      <c r="C127" s="645" t="s">
        <v>883</v>
      </c>
      <c r="D127" s="946" t="s">
        <v>1534</v>
      </c>
    </row>
    <row r="128" spans="1:4" x14ac:dyDescent="0.25">
      <c r="A128" s="941"/>
      <c r="B128" s="644" t="s">
        <v>3462</v>
      </c>
      <c r="C128" s="645" t="s">
        <v>3516</v>
      </c>
      <c r="D128" s="947"/>
    </row>
    <row r="129" spans="1:4" ht="15.75" thickBot="1" x14ac:dyDescent="0.3">
      <c r="A129" s="942"/>
      <c r="B129" s="646" t="s">
        <v>3464</v>
      </c>
      <c r="C129" s="647" t="s">
        <v>56</v>
      </c>
      <c r="D129" s="948"/>
    </row>
    <row r="130" spans="1:4" x14ac:dyDescent="0.25">
      <c r="A130" s="940">
        <v>33</v>
      </c>
      <c r="B130" s="641" t="s">
        <v>3457</v>
      </c>
      <c r="C130" s="642" t="s">
        <v>3517</v>
      </c>
      <c r="D130" s="643" t="s">
        <v>3459</v>
      </c>
    </row>
    <row r="131" spans="1:4" ht="33.75" x14ac:dyDescent="0.25">
      <c r="A131" s="941"/>
      <c r="B131" s="644" t="s">
        <v>3460</v>
      </c>
      <c r="C131" s="645" t="s">
        <v>1358</v>
      </c>
      <c r="D131" s="946" t="s">
        <v>1359</v>
      </c>
    </row>
    <row r="132" spans="1:4" x14ac:dyDescent="0.25">
      <c r="A132" s="941"/>
      <c r="B132" s="644" t="s">
        <v>3462</v>
      </c>
      <c r="C132" s="645" t="s">
        <v>3516</v>
      </c>
      <c r="D132" s="947"/>
    </row>
    <row r="133" spans="1:4" ht="15.75" thickBot="1" x14ac:dyDescent="0.3">
      <c r="A133" s="942"/>
      <c r="B133" s="646" t="s">
        <v>3464</v>
      </c>
      <c r="C133" s="647" t="s">
        <v>56</v>
      </c>
      <c r="D133" s="948"/>
    </row>
    <row r="134" spans="1:4" x14ac:dyDescent="0.25">
      <c r="A134" s="940">
        <v>34</v>
      </c>
      <c r="B134" s="641" t="s">
        <v>3457</v>
      </c>
      <c r="C134" s="642" t="s">
        <v>3518</v>
      </c>
      <c r="D134" s="643" t="s">
        <v>3459</v>
      </c>
    </row>
    <row r="135" spans="1:4" ht="22.5" x14ac:dyDescent="0.25">
      <c r="A135" s="941"/>
      <c r="B135" s="644" t="s">
        <v>3460</v>
      </c>
      <c r="C135" s="645" t="s">
        <v>910</v>
      </c>
      <c r="D135" s="946" t="s">
        <v>1377</v>
      </c>
    </row>
    <row r="136" spans="1:4" x14ac:dyDescent="0.25">
      <c r="A136" s="941"/>
      <c r="B136" s="644" t="s">
        <v>3462</v>
      </c>
      <c r="C136" s="645" t="s">
        <v>3516</v>
      </c>
      <c r="D136" s="947"/>
    </row>
    <row r="137" spans="1:4" ht="15.75" thickBot="1" x14ac:dyDescent="0.3">
      <c r="A137" s="942"/>
      <c r="B137" s="646" t="s">
        <v>3464</v>
      </c>
      <c r="C137" s="647" t="s">
        <v>56</v>
      </c>
      <c r="D137" s="948"/>
    </row>
    <row r="138" spans="1:4" x14ac:dyDescent="0.25">
      <c r="A138" s="940">
        <v>35</v>
      </c>
      <c r="B138" s="641" t="s">
        <v>3457</v>
      </c>
      <c r="C138" s="642" t="s">
        <v>3519</v>
      </c>
      <c r="D138" s="643" t="s">
        <v>3459</v>
      </c>
    </row>
    <row r="139" spans="1:4" ht="22.5" x14ac:dyDescent="0.25">
      <c r="A139" s="941"/>
      <c r="B139" s="644" t="s">
        <v>3460</v>
      </c>
      <c r="C139" s="645" t="s">
        <v>1633</v>
      </c>
      <c r="D139" s="946" t="s">
        <v>3520</v>
      </c>
    </row>
    <row r="140" spans="1:4" x14ac:dyDescent="0.25">
      <c r="A140" s="941"/>
      <c r="B140" s="644" t="s">
        <v>3462</v>
      </c>
      <c r="C140" s="645" t="s">
        <v>3516</v>
      </c>
      <c r="D140" s="947"/>
    </row>
    <row r="141" spans="1:4" ht="15.75" thickBot="1" x14ac:dyDescent="0.3">
      <c r="A141" s="942"/>
      <c r="B141" s="646" t="s">
        <v>3464</v>
      </c>
      <c r="C141" s="647" t="s">
        <v>56</v>
      </c>
      <c r="D141" s="948"/>
    </row>
    <row r="142" spans="1:4" x14ac:dyDescent="0.25">
      <c r="A142" s="940">
        <v>36</v>
      </c>
      <c r="B142" s="641" t="s">
        <v>3457</v>
      </c>
      <c r="C142" s="642" t="s">
        <v>3521</v>
      </c>
      <c r="D142" s="643" t="s">
        <v>3459</v>
      </c>
    </row>
    <row r="143" spans="1:4" ht="22.5" x14ac:dyDescent="0.25">
      <c r="A143" s="941"/>
      <c r="B143" s="644" t="s">
        <v>3460</v>
      </c>
      <c r="C143" s="645" t="s">
        <v>919</v>
      </c>
      <c r="D143" s="946" t="s">
        <v>3522</v>
      </c>
    </row>
    <row r="144" spans="1:4" x14ac:dyDescent="0.25">
      <c r="A144" s="941"/>
      <c r="B144" s="644" t="s">
        <v>3462</v>
      </c>
      <c r="C144" s="645" t="s">
        <v>3516</v>
      </c>
      <c r="D144" s="947"/>
    </row>
    <row r="145" spans="1:4" ht="15.75" thickBot="1" x14ac:dyDescent="0.3">
      <c r="A145" s="942"/>
      <c r="B145" s="646" t="s">
        <v>3464</v>
      </c>
      <c r="C145" s="647" t="s">
        <v>56</v>
      </c>
      <c r="D145" s="948"/>
    </row>
    <row r="146" spans="1:4" x14ac:dyDescent="0.25">
      <c r="A146" s="940">
        <v>37</v>
      </c>
      <c r="B146" s="641" t="s">
        <v>3457</v>
      </c>
      <c r="C146" s="642" t="s">
        <v>3523</v>
      </c>
      <c r="D146" s="643" t="s">
        <v>3459</v>
      </c>
    </row>
    <row r="147" spans="1:4" ht="33.75" x14ac:dyDescent="0.25">
      <c r="A147" s="941"/>
      <c r="B147" s="644" t="s">
        <v>3460</v>
      </c>
      <c r="C147" s="645" t="s">
        <v>2911</v>
      </c>
      <c r="D147" s="946" t="s">
        <v>1363</v>
      </c>
    </row>
    <row r="148" spans="1:4" x14ac:dyDescent="0.25">
      <c r="A148" s="941"/>
      <c r="B148" s="644" t="s">
        <v>3462</v>
      </c>
      <c r="C148" s="645" t="s">
        <v>3516</v>
      </c>
      <c r="D148" s="947"/>
    </row>
    <row r="149" spans="1:4" ht="15.75" thickBot="1" x14ac:dyDescent="0.3">
      <c r="A149" s="942"/>
      <c r="B149" s="646" t="s">
        <v>3464</v>
      </c>
      <c r="C149" s="647" t="s">
        <v>56</v>
      </c>
      <c r="D149" s="948"/>
    </row>
    <row r="150" spans="1:4" x14ac:dyDescent="0.25">
      <c r="A150" s="940">
        <v>38</v>
      </c>
      <c r="B150" s="641" t="s">
        <v>3457</v>
      </c>
      <c r="C150" s="642" t="s">
        <v>3524</v>
      </c>
      <c r="D150" s="643" t="s">
        <v>3459</v>
      </c>
    </row>
    <row r="151" spans="1:4" ht="22.5" x14ac:dyDescent="0.25">
      <c r="A151" s="941"/>
      <c r="B151" s="644" t="s">
        <v>3460</v>
      </c>
      <c r="C151" s="645" t="s">
        <v>2945</v>
      </c>
      <c r="D151" s="946" t="s">
        <v>1502</v>
      </c>
    </row>
    <row r="152" spans="1:4" x14ac:dyDescent="0.25">
      <c r="A152" s="941"/>
      <c r="B152" s="644" t="s">
        <v>3462</v>
      </c>
      <c r="C152" s="645" t="s">
        <v>3516</v>
      </c>
      <c r="D152" s="947"/>
    </row>
    <row r="153" spans="1:4" ht="15.75" thickBot="1" x14ac:dyDescent="0.3">
      <c r="A153" s="942"/>
      <c r="B153" s="646" t="s">
        <v>3464</v>
      </c>
      <c r="C153" s="647" t="s">
        <v>56</v>
      </c>
      <c r="D153" s="948"/>
    </row>
    <row r="154" spans="1:4" x14ac:dyDescent="0.25">
      <c r="A154" s="940">
        <v>39</v>
      </c>
      <c r="B154" s="641" t="s">
        <v>3457</v>
      </c>
      <c r="C154" s="642" t="s">
        <v>3525</v>
      </c>
      <c r="D154" s="643" t="s">
        <v>3459</v>
      </c>
    </row>
    <row r="155" spans="1:4" x14ac:dyDescent="0.25">
      <c r="A155" s="941"/>
      <c r="B155" s="644" t="s">
        <v>3460</v>
      </c>
      <c r="C155" s="645" t="s">
        <v>933</v>
      </c>
      <c r="D155" s="946" t="s">
        <v>3526</v>
      </c>
    </row>
    <row r="156" spans="1:4" x14ac:dyDescent="0.25">
      <c r="A156" s="941"/>
      <c r="B156" s="644" t="s">
        <v>3462</v>
      </c>
      <c r="C156" s="645" t="s">
        <v>3516</v>
      </c>
      <c r="D156" s="947"/>
    </row>
    <row r="157" spans="1:4" ht="15.75" thickBot="1" x14ac:dyDescent="0.3">
      <c r="A157" s="942"/>
      <c r="B157" s="646" t="s">
        <v>3464</v>
      </c>
      <c r="C157" s="647" t="s">
        <v>56</v>
      </c>
      <c r="D157" s="948"/>
    </row>
    <row r="158" spans="1:4" x14ac:dyDescent="0.25">
      <c r="A158" s="940">
        <v>40</v>
      </c>
      <c r="B158" s="641" t="s">
        <v>3457</v>
      </c>
      <c r="C158" s="642" t="s">
        <v>3527</v>
      </c>
      <c r="D158" s="643" t="s">
        <v>3459</v>
      </c>
    </row>
    <row r="159" spans="1:4" ht="22.5" x14ac:dyDescent="0.25">
      <c r="A159" s="941"/>
      <c r="B159" s="644" t="s">
        <v>3460</v>
      </c>
      <c r="C159" s="645" t="s">
        <v>934</v>
      </c>
      <c r="D159" s="946" t="s">
        <v>3528</v>
      </c>
    </row>
    <row r="160" spans="1:4" x14ac:dyDescent="0.25">
      <c r="A160" s="941"/>
      <c r="B160" s="644" t="s">
        <v>3462</v>
      </c>
      <c r="C160" s="645" t="s">
        <v>3516</v>
      </c>
      <c r="D160" s="947"/>
    </row>
    <row r="161" spans="1:4" ht="15.75" thickBot="1" x14ac:dyDescent="0.3">
      <c r="A161" s="942"/>
      <c r="B161" s="646" t="s">
        <v>3464</v>
      </c>
      <c r="C161" s="647" t="s">
        <v>56</v>
      </c>
      <c r="D161" s="948"/>
    </row>
    <row r="162" spans="1:4" x14ac:dyDescent="0.25">
      <c r="A162" s="940">
        <v>41</v>
      </c>
      <c r="B162" s="641" t="s">
        <v>3457</v>
      </c>
      <c r="C162" s="642" t="s">
        <v>3529</v>
      </c>
      <c r="D162" s="643" t="s">
        <v>3459</v>
      </c>
    </row>
    <row r="163" spans="1:4" x14ac:dyDescent="0.25">
      <c r="A163" s="941"/>
      <c r="B163" s="644" t="s">
        <v>3460</v>
      </c>
      <c r="C163" s="645" t="s">
        <v>937</v>
      </c>
      <c r="D163" s="946" t="s">
        <v>1508</v>
      </c>
    </row>
    <row r="164" spans="1:4" x14ac:dyDescent="0.25">
      <c r="A164" s="941"/>
      <c r="B164" s="644" t="s">
        <v>3462</v>
      </c>
      <c r="C164" s="645" t="s">
        <v>3516</v>
      </c>
      <c r="D164" s="947"/>
    </row>
    <row r="165" spans="1:4" ht="15.75" thickBot="1" x14ac:dyDescent="0.3">
      <c r="A165" s="942"/>
      <c r="B165" s="646" t="s">
        <v>3464</v>
      </c>
      <c r="C165" s="647" t="s">
        <v>56</v>
      </c>
      <c r="D165" s="948"/>
    </row>
    <row r="166" spans="1:4" x14ac:dyDescent="0.25">
      <c r="A166" s="940">
        <v>42</v>
      </c>
      <c r="B166" s="641" t="s">
        <v>3457</v>
      </c>
      <c r="C166" s="642" t="s">
        <v>3530</v>
      </c>
      <c r="D166" s="643" t="s">
        <v>3459</v>
      </c>
    </row>
    <row r="167" spans="1:4" x14ac:dyDescent="0.25">
      <c r="A167" s="941"/>
      <c r="B167" s="644" t="s">
        <v>3460</v>
      </c>
      <c r="C167" s="645" t="s">
        <v>939</v>
      </c>
      <c r="D167" s="946" t="s">
        <v>3531</v>
      </c>
    </row>
    <row r="168" spans="1:4" x14ac:dyDescent="0.25">
      <c r="A168" s="941"/>
      <c r="B168" s="644" t="s">
        <v>3462</v>
      </c>
      <c r="C168" s="645" t="s">
        <v>3516</v>
      </c>
      <c r="D168" s="947"/>
    </row>
    <row r="169" spans="1:4" ht="15.75" thickBot="1" x14ac:dyDescent="0.3">
      <c r="A169" s="942"/>
      <c r="B169" s="646" t="s">
        <v>3464</v>
      </c>
      <c r="C169" s="647" t="s">
        <v>56</v>
      </c>
      <c r="D169" s="948"/>
    </row>
    <row r="170" spans="1:4" x14ac:dyDescent="0.25">
      <c r="A170" s="940">
        <v>43</v>
      </c>
      <c r="B170" s="641" t="s">
        <v>3457</v>
      </c>
      <c r="C170" s="642" t="s">
        <v>3532</v>
      </c>
      <c r="D170" s="643" t="s">
        <v>3459</v>
      </c>
    </row>
    <row r="171" spans="1:4" x14ac:dyDescent="0.25">
      <c r="A171" s="941"/>
      <c r="B171" s="644" t="s">
        <v>3460</v>
      </c>
      <c r="C171" s="645" t="s">
        <v>3533</v>
      </c>
      <c r="D171" s="943" t="s">
        <v>1391</v>
      </c>
    </row>
    <row r="172" spans="1:4" x14ac:dyDescent="0.25">
      <c r="A172" s="941"/>
      <c r="B172" s="644" t="s">
        <v>3462</v>
      </c>
      <c r="C172" s="645" t="s">
        <v>3516</v>
      </c>
      <c r="D172" s="944"/>
    </row>
    <row r="173" spans="1:4" ht="15.75" thickBot="1" x14ac:dyDescent="0.3">
      <c r="A173" s="942"/>
      <c r="B173" s="646" t="s">
        <v>3464</v>
      </c>
      <c r="C173" s="647" t="s">
        <v>56</v>
      </c>
      <c r="D173" s="945"/>
    </row>
    <row r="174" spans="1:4" x14ac:dyDescent="0.25">
      <c r="A174" s="940">
        <v>44</v>
      </c>
      <c r="B174" s="641" t="s">
        <v>3457</v>
      </c>
      <c r="C174" s="642" t="s">
        <v>3534</v>
      </c>
      <c r="D174" s="643" t="s">
        <v>3459</v>
      </c>
    </row>
    <row r="175" spans="1:4" x14ac:dyDescent="0.25">
      <c r="A175" s="941"/>
      <c r="B175" s="644" t="s">
        <v>3460</v>
      </c>
      <c r="C175" s="645" t="s">
        <v>914</v>
      </c>
      <c r="D175" s="946" t="s">
        <v>1557</v>
      </c>
    </row>
    <row r="176" spans="1:4" x14ac:dyDescent="0.25">
      <c r="A176" s="941"/>
      <c r="B176" s="644" t="s">
        <v>3462</v>
      </c>
      <c r="C176" s="645" t="s">
        <v>3516</v>
      </c>
      <c r="D176" s="947"/>
    </row>
    <row r="177" spans="1:4" ht="15.75" thickBot="1" x14ac:dyDescent="0.3">
      <c r="A177" s="942"/>
      <c r="B177" s="646" t="s">
        <v>3464</v>
      </c>
      <c r="C177" s="647" t="s">
        <v>56</v>
      </c>
      <c r="D177" s="948"/>
    </row>
    <row r="178" spans="1:4" x14ac:dyDescent="0.25">
      <c r="A178" s="940">
        <v>45</v>
      </c>
      <c r="B178" s="641" t="s">
        <v>3457</v>
      </c>
      <c r="C178" s="642" t="s">
        <v>3535</v>
      </c>
      <c r="D178" s="643" t="s">
        <v>3459</v>
      </c>
    </row>
    <row r="179" spans="1:4" ht="22.5" x14ac:dyDescent="0.25">
      <c r="A179" s="941"/>
      <c r="B179" s="644" t="s">
        <v>3460</v>
      </c>
      <c r="C179" s="645" t="s">
        <v>1671</v>
      </c>
      <c r="D179" s="946" t="s">
        <v>3536</v>
      </c>
    </row>
    <row r="180" spans="1:4" x14ac:dyDescent="0.25">
      <c r="A180" s="941"/>
      <c r="B180" s="644" t="s">
        <v>3462</v>
      </c>
      <c r="C180" s="645" t="s">
        <v>3516</v>
      </c>
      <c r="D180" s="947"/>
    </row>
    <row r="181" spans="1:4" ht="15.75" thickBot="1" x14ac:dyDescent="0.3">
      <c r="A181" s="942"/>
      <c r="B181" s="646" t="s">
        <v>3464</v>
      </c>
      <c r="C181" s="647" t="s">
        <v>99</v>
      </c>
      <c r="D181" s="948"/>
    </row>
    <row r="182" spans="1:4" x14ac:dyDescent="0.25">
      <c r="A182" s="940">
        <v>46</v>
      </c>
      <c r="B182" s="641" t="s">
        <v>3457</v>
      </c>
      <c r="C182" s="642" t="s">
        <v>3537</v>
      </c>
      <c r="D182" s="643" t="s">
        <v>3459</v>
      </c>
    </row>
    <row r="183" spans="1:4" x14ac:dyDescent="0.25">
      <c r="A183" s="941"/>
      <c r="B183" s="644" t="s">
        <v>3460</v>
      </c>
      <c r="C183" s="645" t="s">
        <v>2753</v>
      </c>
      <c r="D183" s="946" t="s">
        <v>3538</v>
      </c>
    </row>
    <row r="184" spans="1:4" x14ac:dyDescent="0.25">
      <c r="A184" s="941"/>
      <c r="B184" s="644" t="s">
        <v>3462</v>
      </c>
      <c r="C184" s="645" t="s">
        <v>3495</v>
      </c>
      <c r="D184" s="947"/>
    </row>
    <row r="185" spans="1:4" ht="15.75" thickBot="1" x14ac:dyDescent="0.3">
      <c r="A185" s="942"/>
      <c r="B185" s="646" t="s">
        <v>3464</v>
      </c>
      <c r="C185" s="647" t="s">
        <v>159</v>
      </c>
      <c r="D185" s="948"/>
    </row>
    <row r="186" spans="1:4" x14ac:dyDescent="0.25">
      <c r="A186" s="940">
        <v>47</v>
      </c>
      <c r="B186" s="641" t="s">
        <v>3457</v>
      </c>
      <c r="C186" s="642" t="s">
        <v>3539</v>
      </c>
      <c r="D186" s="643" t="s">
        <v>3459</v>
      </c>
    </row>
    <row r="187" spans="1:4" ht="33.75" x14ac:dyDescent="0.25">
      <c r="A187" s="941"/>
      <c r="B187" s="644" t="s">
        <v>3460</v>
      </c>
      <c r="C187" s="645" t="s">
        <v>2763</v>
      </c>
      <c r="D187" s="946" t="s">
        <v>1129</v>
      </c>
    </row>
    <row r="188" spans="1:4" x14ac:dyDescent="0.25">
      <c r="A188" s="941"/>
      <c r="B188" s="644" t="s">
        <v>3462</v>
      </c>
      <c r="C188" s="645" t="s">
        <v>3482</v>
      </c>
      <c r="D188" s="947"/>
    </row>
    <row r="189" spans="1:4" ht="15.75" thickBot="1" x14ac:dyDescent="0.3">
      <c r="A189" s="942"/>
      <c r="B189" s="646" t="s">
        <v>3464</v>
      </c>
      <c r="C189" s="647" t="s">
        <v>92</v>
      </c>
      <c r="D189" s="948"/>
    </row>
    <row r="190" spans="1:4" x14ac:dyDescent="0.25">
      <c r="A190" s="940">
        <v>48</v>
      </c>
      <c r="B190" s="641" t="s">
        <v>3457</v>
      </c>
      <c r="C190" s="642" t="s">
        <v>3540</v>
      </c>
      <c r="D190" s="643" t="s">
        <v>3459</v>
      </c>
    </row>
    <row r="191" spans="1:4" x14ac:dyDescent="0.25">
      <c r="A191" s="941"/>
      <c r="B191" s="644" t="s">
        <v>3460</v>
      </c>
      <c r="C191" s="645" t="s">
        <v>853</v>
      </c>
      <c r="D191" s="946" t="s">
        <v>3541</v>
      </c>
    </row>
    <row r="192" spans="1:4" x14ac:dyDescent="0.25">
      <c r="A192" s="941"/>
      <c r="B192" s="644" t="s">
        <v>3462</v>
      </c>
      <c r="C192" s="645" t="s">
        <v>3463</v>
      </c>
      <c r="D192" s="947"/>
    </row>
    <row r="193" spans="1:4" ht="15.75" thickBot="1" x14ac:dyDescent="0.3">
      <c r="A193" s="942"/>
      <c r="B193" s="646" t="s">
        <v>3464</v>
      </c>
      <c r="C193" s="647" t="s">
        <v>56</v>
      </c>
      <c r="D193" s="948"/>
    </row>
    <row r="194" spans="1:4" x14ac:dyDescent="0.25">
      <c r="A194" s="940">
        <v>49</v>
      </c>
      <c r="B194" s="641" t="s">
        <v>3457</v>
      </c>
      <c r="C194" s="642" t="s">
        <v>3542</v>
      </c>
      <c r="D194" s="643" t="s">
        <v>3459</v>
      </c>
    </row>
    <row r="195" spans="1:4" ht="22.5" x14ac:dyDescent="0.25">
      <c r="A195" s="941"/>
      <c r="B195" s="644" t="s">
        <v>3460</v>
      </c>
      <c r="C195" s="645" t="s">
        <v>859</v>
      </c>
      <c r="D195" s="943" t="s">
        <v>747</v>
      </c>
    </row>
    <row r="196" spans="1:4" x14ac:dyDescent="0.25">
      <c r="A196" s="941"/>
      <c r="B196" s="644" t="s">
        <v>3462</v>
      </c>
      <c r="C196" s="645" t="s">
        <v>3463</v>
      </c>
      <c r="D196" s="944"/>
    </row>
    <row r="197" spans="1:4" ht="15.75" thickBot="1" x14ac:dyDescent="0.3">
      <c r="A197" s="942"/>
      <c r="B197" s="646" t="s">
        <v>3464</v>
      </c>
      <c r="C197" s="647" t="s">
        <v>56</v>
      </c>
      <c r="D197" s="945"/>
    </row>
    <row r="198" spans="1:4" x14ac:dyDescent="0.25">
      <c r="A198" s="940">
        <v>50</v>
      </c>
      <c r="B198" s="641" t="s">
        <v>3457</v>
      </c>
      <c r="C198" s="642" t="s">
        <v>3543</v>
      </c>
      <c r="D198" s="643" t="s">
        <v>3459</v>
      </c>
    </row>
    <row r="199" spans="1:4" ht="22.5" x14ac:dyDescent="0.25">
      <c r="A199" s="941"/>
      <c r="B199" s="644" t="s">
        <v>3460</v>
      </c>
      <c r="C199" s="645" t="s">
        <v>2852</v>
      </c>
      <c r="D199" s="946" t="s">
        <v>1332</v>
      </c>
    </row>
    <row r="200" spans="1:4" x14ac:dyDescent="0.25">
      <c r="A200" s="941"/>
      <c r="B200" s="644" t="s">
        <v>3462</v>
      </c>
      <c r="C200" s="645" t="s">
        <v>3463</v>
      </c>
      <c r="D200" s="947"/>
    </row>
    <row r="201" spans="1:4" ht="15.75" thickBot="1" x14ac:dyDescent="0.3">
      <c r="A201" s="942"/>
      <c r="B201" s="646" t="s">
        <v>3464</v>
      </c>
      <c r="C201" s="647" t="s">
        <v>56</v>
      </c>
      <c r="D201" s="948"/>
    </row>
    <row r="202" spans="1:4" x14ac:dyDescent="0.25">
      <c r="A202" s="940">
        <v>51</v>
      </c>
      <c r="B202" s="641" t="s">
        <v>3457</v>
      </c>
      <c r="C202" s="642" t="s">
        <v>3544</v>
      </c>
      <c r="D202" s="643" t="s">
        <v>3459</v>
      </c>
    </row>
    <row r="203" spans="1:4" x14ac:dyDescent="0.25">
      <c r="A203" s="941"/>
      <c r="B203" s="644" t="s">
        <v>3460</v>
      </c>
      <c r="C203" s="645" t="s">
        <v>855</v>
      </c>
      <c r="D203" s="946" t="s">
        <v>1304</v>
      </c>
    </row>
    <row r="204" spans="1:4" x14ac:dyDescent="0.25">
      <c r="A204" s="941"/>
      <c r="B204" s="644" t="s">
        <v>3462</v>
      </c>
      <c r="C204" s="645" t="s">
        <v>3463</v>
      </c>
      <c r="D204" s="947"/>
    </row>
    <row r="205" spans="1:4" ht="15.75" thickBot="1" x14ac:dyDescent="0.3">
      <c r="A205" s="942"/>
      <c r="B205" s="646" t="s">
        <v>3464</v>
      </c>
      <c r="C205" s="647" t="s">
        <v>56</v>
      </c>
      <c r="D205" s="948"/>
    </row>
    <row r="206" spans="1:4" x14ac:dyDescent="0.25">
      <c r="A206" s="940">
        <v>52</v>
      </c>
      <c r="B206" s="641" t="s">
        <v>3457</v>
      </c>
      <c r="C206" s="642" t="s">
        <v>3545</v>
      </c>
      <c r="D206" s="643" t="s">
        <v>3459</v>
      </c>
    </row>
    <row r="207" spans="1:4" ht="22.5" x14ac:dyDescent="0.25">
      <c r="A207" s="941"/>
      <c r="B207" s="644" t="s">
        <v>3460</v>
      </c>
      <c r="C207" s="645" t="s">
        <v>863</v>
      </c>
      <c r="D207" s="946" t="s">
        <v>1274</v>
      </c>
    </row>
    <row r="208" spans="1:4" x14ac:dyDescent="0.25">
      <c r="A208" s="941"/>
      <c r="B208" s="644" t="s">
        <v>3462</v>
      </c>
      <c r="C208" s="645" t="s">
        <v>3463</v>
      </c>
      <c r="D208" s="947"/>
    </row>
    <row r="209" spans="1:4" ht="15.75" thickBot="1" x14ac:dyDescent="0.3">
      <c r="A209" s="942"/>
      <c r="B209" s="646" t="s">
        <v>3464</v>
      </c>
      <c r="C209" s="647" t="s">
        <v>56</v>
      </c>
      <c r="D209" s="948"/>
    </row>
    <row r="210" spans="1:4" x14ac:dyDescent="0.25">
      <c r="A210" s="940">
        <v>53</v>
      </c>
      <c r="B210" s="641" t="s">
        <v>3457</v>
      </c>
      <c r="C210" s="642" t="s">
        <v>3546</v>
      </c>
      <c r="D210" s="643" t="s">
        <v>3459</v>
      </c>
    </row>
    <row r="211" spans="1:4" ht="22.5" x14ac:dyDescent="0.25">
      <c r="A211" s="941"/>
      <c r="B211" s="644" t="s">
        <v>3460</v>
      </c>
      <c r="C211" s="645" t="s">
        <v>2879</v>
      </c>
      <c r="D211" s="946" t="s">
        <v>747</v>
      </c>
    </row>
    <row r="212" spans="1:4" x14ac:dyDescent="0.25">
      <c r="A212" s="941"/>
      <c r="B212" s="644" t="s">
        <v>3462</v>
      </c>
      <c r="C212" s="645" t="s">
        <v>3463</v>
      </c>
      <c r="D212" s="947"/>
    </row>
    <row r="213" spans="1:4" ht="15.75" thickBot="1" x14ac:dyDescent="0.3">
      <c r="A213" s="942"/>
      <c r="B213" s="646" t="s">
        <v>3464</v>
      </c>
      <c r="C213" s="647" t="s">
        <v>56</v>
      </c>
      <c r="D213" s="948"/>
    </row>
    <row r="214" spans="1:4" x14ac:dyDescent="0.25">
      <c r="A214" s="940">
        <v>54</v>
      </c>
      <c r="B214" s="641" t="s">
        <v>3457</v>
      </c>
      <c r="C214" s="642" t="s">
        <v>3547</v>
      </c>
      <c r="D214" s="643" t="s">
        <v>3459</v>
      </c>
    </row>
    <row r="215" spans="1:4" x14ac:dyDescent="0.25">
      <c r="A215" s="941"/>
      <c r="B215" s="644" t="s">
        <v>3460</v>
      </c>
      <c r="C215" s="645" t="s">
        <v>926</v>
      </c>
      <c r="D215" s="946" t="s">
        <v>747</v>
      </c>
    </row>
    <row r="216" spans="1:4" x14ac:dyDescent="0.25">
      <c r="A216" s="941"/>
      <c r="B216" s="644" t="s">
        <v>3462</v>
      </c>
      <c r="C216" s="645" t="s">
        <v>3463</v>
      </c>
      <c r="D216" s="947"/>
    </row>
    <row r="217" spans="1:4" ht="15.75" thickBot="1" x14ac:dyDescent="0.3">
      <c r="A217" s="942"/>
      <c r="B217" s="646" t="s">
        <v>3464</v>
      </c>
      <c r="C217" s="647" t="s">
        <v>56</v>
      </c>
      <c r="D217" s="948"/>
    </row>
    <row r="218" spans="1:4" x14ac:dyDescent="0.25">
      <c r="A218" s="940">
        <v>55</v>
      </c>
      <c r="B218" s="641" t="s">
        <v>3457</v>
      </c>
      <c r="C218" s="642" t="s">
        <v>3548</v>
      </c>
      <c r="D218" s="643" t="s">
        <v>3459</v>
      </c>
    </row>
    <row r="219" spans="1:4" x14ac:dyDescent="0.25">
      <c r="A219" s="941"/>
      <c r="B219" s="644" t="s">
        <v>3460</v>
      </c>
      <c r="C219" s="645" t="s">
        <v>3549</v>
      </c>
      <c r="D219" s="946" t="s">
        <v>3550</v>
      </c>
    </row>
    <row r="220" spans="1:4" x14ac:dyDescent="0.25">
      <c r="A220" s="941"/>
      <c r="B220" s="644" t="s">
        <v>3462</v>
      </c>
      <c r="C220" s="645" t="s">
        <v>3463</v>
      </c>
      <c r="D220" s="947"/>
    </row>
    <row r="221" spans="1:4" ht="15.75" thickBot="1" x14ac:dyDescent="0.3">
      <c r="A221" s="942"/>
      <c r="B221" s="646" t="s">
        <v>3464</v>
      </c>
      <c r="C221" s="647" t="s">
        <v>56</v>
      </c>
      <c r="D221" s="948"/>
    </row>
    <row r="222" spans="1:4" x14ac:dyDescent="0.25">
      <c r="A222" s="940">
        <v>56</v>
      </c>
      <c r="B222" s="641" t="s">
        <v>3457</v>
      </c>
      <c r="C222" s="642" t="s">
        <v>3551</v>
      </c>
      <c r="D222" s="643" t="s">
        <v>3459</v>
      </c>
    </row>
    <row r="223" spans="1:4" ht="22.5" x14ac:dyDescent="0.25">
      <c r="A223" s="941"/>
      <c r="B223" s="644" t="s">
        <v>3460</v>
      </c>
      <c r="C223" s="645" t="s">
        <v>2119</v>
      </c>
      <c r="D223" s="946" t="s">
        <v>3552</v>
      </c>
    </row>
    <row r="224" spans="1:4" x14ac:dyDescent="0.25">
      <c r="A224" s="941"/>
      <c r="B224" s="644" t="s">
        <v>3462</v>
      </c>
      <c r="C224" s="645" t="s">
        <v>3463</v>
      </c>
      <c r="D224" s="947"/>
    </row>
    <row r="225" spans="1:4" ht="15.75" thickBot="1" x14ac:dyDescent="0.3">
      <c r="A225" s="942"/>
      <c r="B225" s="646" t="s">
        <v>3464</v>
      </c>
      <c r="C225" s="647" t="s">
        <v>56</v>
      </c>
      <c r="D225" s="948"/>
    </row>
    <row r="226" spans="1:4" x14ac:dyDescent="0.25">
      <c r="A226" s="940">
        <v>57</v>
      </c>
      <c r="B226" s="641" t="s">
        <v>3457</v>
      </c>
      <c r="C226" s="642" t="s">
        <v>3553</v>
      </c>
      <c r="D226" s="643" t="s">
        <v>3459</v>
      </c>
    </row>
    <row r="227" spans="1:4" ht="22.5" x14ac:dyDescent="0.25">
      <c r="A227" s="941"/>
      <c r="B227" s="644" t="s">
        <v>3460</v>
      </c>
      <c r="C227" s="645" t="s">
        <v>2111</v>
      </c>
      <c r="D227" s="946" t="s">
        <v>3554</v>
      </c>
    </row>
    <row r="228" spans="1:4" x14ac:dyDescent="0.25">
      <c r="A228" s="941"/>
      <c r="B228" s="644" t="s">
        <v>3462</v>
      </c>
      <c r="C228" s="645" t="s">
        <v>3463</v>
      </c>
      <c r="D228" s="947"/>
    </row>
    <row r="229" spans="1:4" ht="15.75" thickBot="1" x14ac:dyDescent="0.3">
      <c r="A229" s="942"/>
      <c r="B229" s="646" t="s">
        <v>3464</v>
      </c>
      <c r="C229" s="647" t="s">
        <v>56</v>
      </c>
      <c r="D229" s="948"/>
    </row>
    <row r="230" spans="1:4" x14ac:dyDescent="0.25">
      <c r="A230" s="940">
        <v>58</v>
      </c>
      <c r="B230" s="641" t="s">
        <v>3457</v>
      </c>
      <c r="C230" s="642" t="s">
        <v>3555</v>
      </c>
      <c r="D230" s="643" t="s">
        <v>3459</v>
      </c>
    </row>
    <row r="231" spans="1:4" ht="22.5" x14ac:dyDescent="0.25">
      <c r="A231" s="941"/>
      <c r="B231" s="644" t="s">
        <v>3460</v>
      </c>
      <c r="C231" s="645" t="s">
        <v>2114</v>
      </c>
      <c r="D231" s="943" t="s">
        <v>3556</v>
      </c>
    </row>
    <row r="232" spans="1:4" x14ac:dyDescent="0.25">
      <c r="A232" s="941"/>
      <c r="B232" s="644" t="s">
        <v>3462</v>
      </c>
      <c r="C232" s="645" t="s">
        <v>3463</v>
      </c>
      <c r="D232" s="944"/>
    </row>
    <row r="233" spans="1:4" ht="15.75" thickBot="1" x14ac:dyDescent="0.3">
      <c r="A233" s="942"/>
      <c r="B233" s="646" t="s">
        <v>3464</v>
      </c>
      <c r="C233" s="647" t="s">
        <v>56</v>
      </c>
      <c r="D233" s="945"/>
    </row>
    <row r="234" spans="1:4" x14ac:dyDescent="0.25">
      <c r="A234" s="940">
        <v>59</v>
      </c>
      <c r="B234" s="641" t="s">
        <v>3457</v>
      </c>
      <c r="C234" s="642" t="s">
        <v>3557</v>
      </c>
      <c r="D234" s="643" t="s">
        <v>3459</v>
      </c>
    </row>
    <row r="235" spans="1:4" ht="67.5" x14ac:dyDescent="0.25">
      <c r="A235" s="941"/>
      <c r="B235" s="644" t="s">
        <v>3460</v>
      </c>
      <c r="C235" s="645" t="s">
        <v>3558</v>
      </c>
      <c r="D235" s="946" t="s">
        <v>747</v>
      </c>
    </row>
    <row r="236" spans="1:4" x14ac:dyDescent="0.25">
      <c r="A236" s="941"/>
      <c r="B236" s="644" t="s">
        <v>3462</v>
      </c>
      <c r="C236" s="645" t="s">
        <v>3463</v>
      </c>
      <c r="D236" s="947"/>
    </row>
    <row r="237" spans="1:4" ht="15.75" thickBot="1" x14ac:dyDescent="0.3">
      <c r="A237" s="942"/>
      <c r="B237" s="646" t="s">
        <v>3464</v>
      </c>
      <c r="C237" s="647" t="s">
        <v>56</v>
      </c>
      <c r="D237" s="948"/>
    </row>
    <row r="238" spans="1:4" x14ac:dyDescent="0.25">
      <c r="A238" s="940">
        <v>60</v>
      </c>
      <c r="B238" s="641" t="s">
        <v>3457</v>
      </c>
      <c r="C238" s="642" t="s">
        <v>3559</v>
      </c>
      <c r="D238" s="643" t="s">
        <v>3459</v>
      </c>
    </row>
    <row r="239" spans="1:4" ht="22.5" x14ac:dyDescent="0.25">
      <c r="A239" s="941"/>
      <c r="B239" s="644" t="s">
        <v>3460</v>
      </c>
      <c r="C239" s="645" t="s">
        <v>2122</v>
      </c>
      <c r="D239" s="946" t="s">
        <v>747</v>
      </c>
    </row>
    <row r="240" spans="1:4" x14ac:dyDescent="0.25">
      <c r="A240" s="941"/>
      <c r="B240" s="644" t="s">
        <v>3462</v>
      </c>
      <c r="C240" s="645" t="s">
        <v>3463</v>
      </c>
      <c r="D240" s="947"/>
    </row>
    <row r="241" spans="1:4" ht="15.75" thickBot="1" x14ac:dyDescent="0.3">
      <c r="A241" s="942"/>
      <c r="B241" s="646" t="s">
        <v>3464</v>
      </c>
      <c r="C241" s="647" t="s">
        <v>56</v>
      </c>
      <c r="D241" s="948"/>
    </row>
    <row r="242" spans="1:4" x14ac:dyDescent="0.25">
      <c r="A242" s="940">
        <v>61</v>
      </c>
      <c r="B242" s="641" t="s">
        <v>3457</v>
      </c>
      <c r="C242" s="642" t="s">
        <v>3560</v>
      </c>
      <c r="D242" s="643" t="s">
        <v>3459</v>
      </c>
    </row>
    <row r="243" spans="1:4" ht="22.5" x14ac:dyDescent="0.25">
      <c r="A243" s="941"/>
      <c r="B243" s="644" t="s">
        <v>3460</v>
      </c>
      <c r="C243" s="645" t="s">
        <v>2140</v>
      </c>
      <c r="D243" s="946" t="s">
        <v>2141</v>
      </c>
    </row>
    <row r="244" spans="1:4" x14ac:dyDescent="0.25">
      <c r="A244" s="941"/>
      <c r="B244" s="644" t="s">
        <v>3462</v>
      </c>
      <c r="C244" s="645" t="s">
        <v>3463</v>
      </c>
      <c r="D244" s="947"/>
    </row>
    <row r="245" spans="1:4" ht="15.75" thickBot="1" x14ac:dyDescent="0.3">
      <c r="A245" s="942"/>
      <c r="B245" s="646" t="s">
        <v>3464</v>
      </c>
      <c r="C245" s="647" t="s">
        <v>56</v>
      </c>
      <c r="D245" s="948"/>
    </row>
    <row r="246" spans="1:4" x14ac:dyDescent="0.25">
      <c r="A246" s="940">
        <v>62</v>
      </c>
      <c r="B246" s="641" t="s">
        <v>3457</v>
      </c>
      <c r="C246" s="642" t="s">
        <v>3561</v>
      </c>
      <c r="D246" s="643" t="s">
        <v>3459</v>
      </c>
    </row>
    <row r="247" spans="1:4" ht="22.5" x14ac:dyDescent="0.25">
      <c r="A247" s="941"/>
      <c r="B247" s="644" t="s">
        <v>3460</v>
      </c>
      <c r="C247" s="645" t="s">
        <v>2774</v>
      </c>
      <c r="D247" s="943" t="s">
        <v>2591</v>
      </c>
    </row>
    <row r="248" spans="1:4" x14ac:dyDescent="0.25">
      <c r="A248" s="941"/>
      <c r="B248" s="644" t="s">
        <v>3462</v>
      </c>
      <c r="C248" s="645" t="s">
        <v>3562</v>
      </c>
      <c r="D248" s="944"/>
    </row>
    <row r="249" spans="1:4" ht="15.75" thickBot="1" x14ac:dyDescent="0.3">
      <c r="A249" s="942"/>
      <c r="B249" s="646" t="s">
        <v>3464</v>
      </c>
      <c r="C249" s="647" t="s">
        <v>99</v>
      </c>
      <c r="D249" s="945"/>
    </row>
    <row r="250" spans="1:4" x14ac:dyDescent="0.25">
      <c r="A250" s="940">
        <v>63</v>
      </c>
      <c r="B250" s="641" t="s">
        <v>3457</v>
      </c>
      <c r="C250" s="642" t="s">
        <v>3563</v>
      </c>
      <c r="D250" s="643" t="s">
        <v>3459</v>
      </c>
    </row>
    <row r="251" spans="1:4" x14ac:dyDescent="0.25">
      <c r="A251" s="941"/>
      <c r="B251" s="644" t="s">
        <v>3460</v>
      </c>
      <c r="C251" s="645" t="s">
        <v>2099</v>
      </c>
      <c r="D251" s="943" t="s">
        <v>3564</v>
      </c>
    </row>
    <row r="252" spans="1:4" x14ac:dyDescent="0.25">
      <c r="A252" s="941"/>
      <c r="B252" s="644" t="s">
        <v>3462</v>
      </c>
      <c r="C252" s="645" t="s">
        <v>3463</v>
      </c>
      <c r="D252" s="944"/>
    </row>
    <row r="253" spans="1:4" ht="15.75" thickBot="1" x14ac:dyDescent="0.3">
      <c r="A253" s="942"/>
      <c r="B253" s="646" t="s">
        <v>3464</v>
      </c>
      <c r="C253" s="647" t="s">
        <v>56</v>
      </c>
      <c r="D253" s="945"/>
    </row>
    <row r="254" spans="1:4" x14ac:dyDescent="0.25">
      <c r="A254" s="940">
        <v>64</v>
      </c>
      <c r="B254" s="641" t="s">
        <v>3457</v>
      </c>
      <c r="C254" s="642" t="s">
        <v>3565</v>
      </c>
      <c r="D254" s="643" t="s">
        <v>3459</v>
      </c>
    </row>
    <row r="255" spans="1:4" x14ac:dyDescent="0.25">
      <c r="A255" s="941"/>
      <c r="B255" s="644" t="s">
        <v>3460</v>
      </c>
      <c r="C255" s="645" t="s">
        <v>2565</v>
      </c>
      <c r="D255" s="943" t="s">
        <v>2566</v>
      </c>
    </row>
    <row r="256" spans="1:4" x14ac:dyDescent="0.25">
      <c r="A256" s="941"/>
      <c r="B256" s="644" t="s">
        <v>3462</v>
      </c>
      <c r="C256" s="645" t="s">
        <v>3463</v>
      </c>
      <c r="D256" s="944"/>
    </row>
    <row r="257" spans="1:4" ht="15.75" thickBot="1" x14ac:dyDescent="0.3">
      <c r="A257" s="942"/>
      <c r="B257" s="646" t="s">
        <v>3464</v>
      </c>
      <c r="C257" s="647" t="s">
        <v>56</v>
      </c>
      <c r="D257" s="945"/>
    </row>
    <row r="258" spans="1:4" x14ac:dyDescent="0.25">
      <c r="A258" s="940">
        <v>65</v>
      </c>
      <c r="B258" s="641" t="s">
        <v>3457</v>
      </c>
      <c r="C258" s="642" t="s">
        <v>3566</v>
      </c>
      <c r="D258" s="643" t="s">
        <v>3459</v>
      </c>
    </row>
    <row r="259" spans="1:4" ht="67.5" x14ac:dyDescent="0.25">
      <c r="A259" s="941"/>
      <c r="B259" s="644" t="s">
        <v>3460</v>
      </c>
      <c r="C259" s="645" t="s">
        <v>857</v>
      </c>
      <c r="D259" s="943" t="s">
        <v>747</v>
      </c>
    </row>
    <row r="260" spans="1:4" x14ac:dyDescent="0.25">
      <c r="A260" s="941"/>
      <c r="B260" s="644" t="s">
        <v>3462</v>
      </c>
      <c r="C260" s="645" t="s">
        <v>3463</v>
      </c>
      <c r="D260" s="944"/>
    </row>
    <row r="261" spans="1:4" ht="15.75" thickBot="1" x14ac:dyDescent="0.3">
      <c r="A261" s="942"/>
      <c r="B261" s="646" t="s">
        <v>3464</v>
      </c>
      <c r="C261" s="647" t="s">
        <v>56</v>
      </c>
      <c r="D261" s="945"/>
    </row>
    <row r="262" spans="1:4" x14ac:dyDescent="0.25">
      <c r="A262" s="940">
        <v>66</v>
      </c>
      <c r="B262" s="641" t="s">
        <v>3457</v>
      </c>
      <c r="C262" s="642" t="s">
        <v>3567</v>
      </c>
      <c r="D262" s="643" t="s">
        <v>3459</v>
      </c>
    </row>
    <row r="263" spans="1:4" ht="22.5" x14ac:dyDescent="0.25">
      <c r="A263" s="941"/>
      <c r="B263" s="644" t="s">
        <v>3460</v>
      </c>
      <c r="C263" s="645" t="s">
        <v>3568</v>
      </c>
      <c r="D263" s="946" t="s">
        <v>747</v>
      </c>
    </row>
    <row r="264" spans="1:4" x14ac:dyDescent="0.25">
      <c r="A264" s="941"/>
      <c r="B264" s="644" t="s">
        <v>3462</v>
      </c>
      <c r="C264" s="645" t="s">
        <v>3463</v>
      </c>
      <c r="D264" s="947"/>
    </row>
    <row r="265" spans="1:4" ht="15.75" thickBot="1" x14ac:dyDescent="0.3">
      <c r="A265" s="942"/>
      <c r="B265" s="646" t="s">
        <v>3464</v>
      </c>
      <c r="C265" s="647" t="s">
        <v>56</v>
      </c>
      <c r="D265" s="948"/>
    </row>
    <row r="266" spans="1:4" x14ac:dyDescent="0.25">
      <c r="A266" s="940">
        <v>67</v>
      </c>
      <c r="B266" s="641" t="s">
        <v>3457</v>
      </c>
      <c r="C266" s="642" t="s">
        <v>3569</v>
      </c>
      <c r="D266" s="643" t="s">
        <v>3459</v>
      </c>
    </row>
    <row r="267" spans="1:4" x14ac:dyDescent="0.25">
      <c r="A267" s="941"/>
      <c r="B267" s="644" t="s">
        <v>3460</v>
      </c>
      <c r="C267" s="645" t="s">
        <v>2543</v>
      </c>
      <c r="D267" s="946" t="s">
        <v>2544</v>
      </c>
    </row>
    <row r="268" spans="1:4" x14ac:dyDescent="0.25">
      <c r="A268" s="941"/>
      <c r="B268" s="644" t="s">
        <v>3462</v>
      </c>
      <c r="C268" s="645" t="s">
        <v>3463</v>
      </c>
      <c r="D268" s="947"/>
    </row>
    <row r="269" spans="1:4" ht="15.75" thickBot="1" x14ac:dyDescent="0.3">
      <c r="A269" s="942"/>
      <c r="B269" s="646" t="s">
        <v>3464</v>
      </c>
      <c r="C269" s="647" t="s">
        <v>56</v>
      </c>
      <c r="D269" s="948"/>
    </row>
    <row r="270" spans="1:4" x14ac:dyDescent="0.25">
      <c r="A270" s="940">
        <v>68</v>
      </c>
      <c r="B270" s="641" t="s">
        <v>3457</v>
      </c>
      <c r="C270" s="642" t="s">
        <v>3570</v>
      </c>
      <c r="D270" s="643" t="s">
        <v>3459</v>
      </c>
    </row>
    <row r="271" spans="1:4" ht="45" x14ac:dyDescent="0.25">
      <c r="A271" s="941"/>
      <c r="B271" s="644" t="s">
        <v>3460</v>
      </c>
      <c r="C271" s="645" t="s">
        <v>2850</v>
      </c>
      <c r="D271" s="946" t="s">
        <v>2693</v>
      </c>
    </row>
    <row r="272" spans="1:4" x14ac:dyDescent="0.25">
      <c r="A272" s="941"/>
      <c r="B272" s="644" t="s">
        <v>3462</v>
      </c>
      <c r="C272" s="645" t="s">
        <v>3463</v>
      </c>
      <c r="D272" s="947"/>
    </row>
    <row r="273" spans="1:4" ht="15.75" thickBot="1" x14ac:dyDescent="0.3">
      <c r="A273" s="942"/>
      <c r="B273" s="646" t="s">
        <v>3464</v>
      </c>
      <c r="C273" s="647" t="s">
        <v>56</v>
      </c>
      <c r="D273" s="948"/>
    </row>
    <row r="274" spans="1:4" x14ac:dyDescent="0.25">
      <c r="A274" s="940">
        <v>69</v>
      </c>
      <c r="B274" s="641" t="s">
        <v>3457</v>
      </c>
      <c r="C274" s="642" t="s">
        <v>3571</v>
      </c>
      <c r="D274" s="643" t="s">
        <v>3459</v>
      </c>
    </row>
    <row r="275" spans="1:4" ht="22.5" x14ac:dyDescent="0.25">
      <c r="A275" s="941"/>
      <c r="B275" s="644" t="s">
        <v>3460</v>
      </c>
      <c r="C275" s="645" t="s">
        <v>1575</v>
      </c>
      <c r="D275" s="946" t="s">
        <v>1576</v>
      </c>
    </row>
    <row r="276" spans="1:4" x14ac:dyDescent="0.25">
      <c r="A276" s="941"/>
      <c r="B276" s="644" t="s">
        <v>3462</v>
      </c>
      <c r="C276" s="645" t="s">
        <v>3572</v>
      </c>
      <c r="D276" s="947"/>
    </row>
    <row r="277" spans="1:4" ht="15.75" thickBot="1" x14ac:dyDescent="0.3">
      <c r="A277" s="942"/>
      <c r="B277" s="646" t="s">
        <v>3464</v>
      </c>
      <c r="C277" s="647" t="s">
        <v>159</v>
      </c>
      <c r="D277" s="948"/>
    </row>
    <row r="278" spans="1:4" x14ac:dyDescent="0.25">
      <c r="A278" s="940">
        <v>70</v>
      </c>
      <c r="B278" s="641" t="s">
        <v>3457</v>
      </c>
      <c r="C278" s="642" t="s">
        <v>3573</v>
      </c>
      <c r="D278" s="643" t="s">
        <v>3459</v>
      </c>
    </row>
    <row r="279" spans="1:4" ht="22.5" x14ac:dyDescent="0.25">
      <c r="A279" s="941"/>
      <c r="B279" s="644" t="s">
        <v>3460</v>
      </c>
      <c r="C279" s="645" t="s">
        <v>2675</v>
      </c>
      <c r="D279" s="943" t="s">
        <v>3574</v>
      </c>
    </row>
    <row r="280" spans="1:4" x14ac:dyDescent="0.25">
      <c r="A280" s="941"/>
      <c r="B280" s="644" t="s">
        <v>3462</v>
      </c>
      <c r="C280" s="645" t="s">
        <v>3575</v>
      </c>
      <c r="D280" s="944"/>
    </row>
    <row r="281" spans="1:4" ht="15.75" thickBot="1" x14ac:dyDescent="0.3">
      <c r="A281" s="942"/>
      <c r="B281" s="646" t="s">
        <v>3464</v>
      </c>
      <c r="C281" s="647" t="s">
        <v>99</v>
      </c>
      <c r="D281" s="945"/>
    </row>
    <row r="282" spans="1:4" x14ac:dyDescent="0.25">
      <c r="A282" s="940">
        <v>71</v>
      </c>
      <c r="B282" s="641" t="s">
        <v>3457</v>
      </c>
      <c r="C282" s="642" t="s">
        <v>3576</v>
      </c>
      <c r="D282" s="643" t="s">
        <v>3459</v>
      </c>
    </row>
    <row r="283" spans="1:4" x14ac:dyDescent="0.25">
      <c r="A283" s="941"/>
      <c r="B283" s="644" t="s">
        <v>3460</v>
      </c>
      <c r="C283" s="645" t="s">
        <v>818</v>
      </c>
      <c r="D283" s="943" t="s">
        <v>1302</v>
      </c>
    </row>
    <row r="284" spans="1:4" x14ac:dyDescent="0.25">
      <c r="A284" s="941"/>
      <c r="B284" s="644" t="s">
        <v>3462</v>
      </c>
      <c r="C284" s="645" t="s">
        <v>3502</v>
      </c>
      <c r="D284" s="944"/>
    </row>
    <row r="285" spans="1:4" ht="15.75" thickBot="1" x14ac:dyDescent="0.3">
      <c r="A285" s="942"/>
      <c r="B285" s="646" t="s">
        <v>3464</v>
      </c>
      <c r="C285" s="647" t="s">
        <v>56</v>
      </c>
      <c r="D285" s="945"/>
    </row>
    <row r="286" spans="1:4" x14ac:dyDescent="0.25">
      <c r="A286" s="940">
        <v>72</v>
      </c>
      <c r="B286" s="641" t="s">
        <v>3457</v>
      </c>
      <c r="C286" s="642" t="s">
        <v>3577</v>
      </c>
      <c r="D286" s="643" t="s">
        <v>3459</v>
      </c>
    </row>
    <row r="287" spans="1:4" ht="22.5" x14ac:dyDescent="0.25">
      <c r="A287" s="941"/>
      <c r="B287" s="644" t="s">
        <v>3460</v>
      </c>
      <c r="C287" s="645" t="s">
        <v>822</v>
      </c>
      <c r="D287" s="946" t="s">
        <v>747</v>
      </c>
    </row>
    <row r="288" spans="1:4" x14ac:dyDescent="0.25">
      <c r="A288" s="941"/>
      <c r="B288" s="644" t="s">
        <v>3462</v>
      </c>
      <c r="C288" s="645" t="s">
        <v>3502</v>
      </c>
      <c r="D288" s="947"/>
    </row>
    <row r="289" spans="1:4" ht="15.75" thickBot="1" x14ac:dyDescent="0.3">
      <c r="A289" s="942"/>
      <c r="B289" s="646" t="s">
        <v>3464</v>
      </c>
      <c r="C289" s="647" t="s">
        <v>56</v>
      </c>
      <c r="D289" s="948"/>
    </row>
    <row r="290" spans="1:4" x14ac:dyDescent="0.25">
      <c r="A290" s="940">
        <v>73</v>
      </c>
      <c r="B290" s="641" t="s">
        <v>3457</v>
      </c>
      <c r="C290" s="642" t="s">
        <v>3578</v>
      </c>
      <c r="D290" s="643" t="s">
        <v>3459</v>
      </c>
    </row>
    <row r="291" spans="1:4" ht="33.75" x14ac:dyDescent="0.25">
      <c r="A291" s="941"/>
      <c r="B291" s="644" t="s">
        <v>3460</v>
      </c>
      <c r="C291" s="645" t="s">
        <v>798</v>
      </c>
      <c r="D291" s="946" t="s">
        <v>747</v>
      </c>
    </row>
    <row r="292" spans="1:4" x14ac:dyDescent="0.25">
      <c r="A292" s="941"/>
      <c r="B292" s="644" t="s">
        <v>3462</v>
      </c>
      <c r="C292" s="645" t="s">
        <v>3502</v>
      </c>
      <c r="D292" s="947"/>
    </row>
    <row r="293" spans="1:4" ht="15.75" thickBot="1" x14ac:dyDescent="0.3">
      <c r="A293" s="942"/>
      <c r="B293" s="646" t="s">
        <v>3464</v>
      </c>
      <c r="C293" s="647" t="s">
        <v>56</v>
      </c>
      <c r="D293" s="948"/>
    </row>
    <row r="294" spans="1:4" x14ac:dyDescent="0.25">
      <c r="A294" s="940">
        <v>74</v>
      </c>
      <c r="B294" s="641" t="s">
        <v>3457</v>
      </c>
      <c r="C294" s="642" t="s">
        <v>3579</v>
      </c>
      <c r="D294" s="643" t="s">
        <v>3459</v>
      </c>
    </row>
    <row r="295" spans="1:4" ht="22.5" x14ac:dyDescent="0.25">
      <c r="A295" s="941"/>
      <c r="B295" s="644" t="s">
        <v>3460</v>
      </c>
      <c r="C295" s="645" t="s">
        <v>792</v>
      </c>
      <c r="D295" s="946" t="s">
        <v>3497</v>
      </c>
    </row>
    <row r="296" spans="1:4" x14ac:dyDescent="0.25">
      <c r="A296" s="941"/>
      <c r="B296" s="644" t="s">
        <v>3462</v>
      </c>
      <c r="C296" s="645" t="s">
        <v>3502</v>
      </c>
      <c r="D296" s="947"/>
    </row>
    <row r="297" spans="1:4" ht="15.75" thickBot="1" x14ac:dyDescent="0.3">
      <c r="A297" s="942"/>
      <c r="B297" s="646" t="s">
        <v>3464</v>
      </c>
      <c r="C297" s="647" t="s">
        <v>56</v>
      </c>
      <c r="D297" s="948"/>
    </row>
    <row r="298" spans="1:4" x14ac:dyDescent="0.25">
      <c r="A298" s="940">
        <v>75</v>
      </c>
      <c r="B298" s="641" t="s">
        <v>3457</v>
      </c>
      <c r="C298" s="642" t="s">
        <v>3580</v>
      </c>
      <c r="D298" s="643" t="s">
        <v>3459</v>
      </c>
    </row>
    <row r="299" spans="1:4" ht="22.5" x14ac:dyDescent="0.25">
      <c r="A299" s="941"/>
      <c r="B299" s="644" t="s">
        <v>3460</v>
      </c>
      <c r="C299" s="645" t="s">
        <v>794</v>
      </c>
      <c r="D299" s="946" t="s">
        <v>1208</v>
      </c>
    </row>
    <row r="300" spans="1:4" x14ac:dyDescent="0.25">
      <c r="A300" s="941"/>
      <c r="B300" s="644" t="s">
        <v>3462</v>
      </c>
      <c r="C300" s="645" t="s">
        <v>3502</v>
      </c>
      <c r="D300" s="947"/>
    </row>
    <row r="301" spans="1:4" ht="15.75" thickBot="1" x14ac:dyDescent="0.3">
      <c r="A301" s="942"/>
      <c r="B301" s="646" t="s">
        <v>3464</v>
      </c>
      <c r="C301" s="647" t="s">
        <v>159</v>
      </c>
      <c r="D301" s="948"/>
    </row>
    <row r="302" spans="1:4" x14ac:dyDescent="0.25">
      <c r="A302" s="940">
        <v>76</v>
      </c>
      <c r="B302" s="641" t="s">
        <v>3457</v>
      </c>
      <c r="C302" s="642" t="s">
        <v>3581</v>
      </c>
      <c r="D302" s="643" t="s">
        <v>3459</v>
      </c>
    </row>
    <row r="303" spans="1:4" ht="33.75" x14ac:dyDescent="0.25">
      <c r="A303" s="941"/>
      <c r="B303" s="644" t="s">
        <v>3460</v>
      </c>
      <c r="C303" s="645" t="s">
        <v>796</v>
      </c>
      <c r="D303" s="946" t="s">
        <v>1224</v>
      </c>
    </row>
    <row r="304" spans="1:4" x14ac:dyDescent="0.25">
      <c r="A304" s="941"/>
      <c r="B304" s="644" t="s">
        <v>3462</v>
      </c>
      <c r="C304" s="645" t="s">
        <v>3502</v>
      </c>
      <c r="D304" s="947"/>
    </row>
    <row r="305" spans="1:4" ht="15.75" thickBot="1" x14ac:dyDescent="0.3">
      <c r="A305" s="942"/>
      <c r="B305" s="646" t="s">
        <v>3464</v>
      </c>
      <c r="C305" s="647" t="s">
        <v>159</v>
      </c>
      <c r="D305" s="948"/>
    </row>
    <row r="306" spans="1:4" x14ac:dyDescent="0.25">
      <c r="A306" s="940">
        <v>77</v>
      </c>
      <c r="B306" s="641" t="s">
        <v>3457</v>
      </c>
      <c r="C306" s="642" t="s">
        <v>3582</v>
      </c>
      <c r="D306" s="643" t="s">
        <v>3459</v>
      </c>
    </row>
    <row r="307" spans="1:4" x14ac:dyDescent="0.25">
      <c r="A307" s="941"/>
      <c r="B307" s="644" t="s">
        <v>3460</v>
      </c>
      <c r="C307" s="645" t="s">
        <v>800</v>
      </c>
      <c r="D307" s="946" t="s">
        <v>3583</v>
      </c>
    </row>
    <row r="308" spans="1:4" x14ac:dyDescent="0.25">
      <c r="A308" s="941"/>
      <c r="B308" s="644" t="s">
        <v>3462</v>
      </c>
      <c r="C308" s="645" t="s">
        <v>3502</v>
      </c>
      <c r="D308" s="947"/>
    </row>
    <row r="309" spans="1:4" ht="15.75" thickBot="1" x14ac:dyDescent="0.3">
      <c r="A309" s="942"/>
      <c r="B309" s="646" t="s">
        <v>3464</v>
      </c>
      <c r="C309" s="647" t="s">
        <v>56</v>
      </c>
      <c r="D309" s="948"/>
    </row>
    <row r="310" spans="1:4" x14ac:dyDescent="0.25">
      <c r="A310" s="940">
        <v>78</v>
      </c>
      <c r="B310" s="641" t="s">
        <v>3457</v>
      </c>
      <c r="C310" s="642" t="s">
        <v>3584</v>
      </c>
      <c r="D310" s="643" t="s">
        <v>3459</v>
      </c>
    </row>
    <row r="311" spans="1:4" ht="22.5" x14ac:dyDescent="0.25">
      <c r="A311" s="941"/>
      <c r="B311" s="644" t="s">
        <v>3460</v>
      </c>
      <c r="C311" s="645" t="s">
        <v>2756</v>
      </c>
      <c r="D311" s="946" t="s">
        <v>1204</v>
      </c>
    </row>
    <row r="312" spans="1:4" x14ac:dyDescent="0.25">
      <c r="A312" s="941"/>
      <c r="B312" s="644" t="s">
        <v>3462</v>
      </c>
      <c r="C312" s="645" t="s">
        <v>3502</v>
      </c>
      <c r="D312" s="947"/>
    </row>
    <row r="313" spans="1:4" ht="15.75" thickBot="1" x14ac:dyDescent="0.3">
      <c r="A313" s="942"/>
      <c r="B313" s="646" t="s">
        <v>3464</v>
      </c>
      <c r="C313" s="647" t="s">
        <v>159</v>
      </c>
      <c r="D313" s="948"/>
    </row>
    <row r="314" spans="1:4" x14ac:dyDescent="0.25">
      <c r="A314" s="940">
        <v>79</v>
      </c>
      <c r="B314" s="641" t="s">
        <v>3457</v>
      </c>
      <c r="C314" s="642" t="s">
        <v>3585</v>
      </c>
      <c r="D314" s="643" t="s">
        <v>3459</v>
      </c>
    </row>
    <row r="315" spans="1:4" ht="22.5" x14ac:dyDescent="0.25">
      <c r="A315" s="941"/>
      <c r="B315" s="644" t="s">
        <v>3460</v>
      </c>
      <c r="C315" s="645" t="s">
        <v>808</v>
      </c>
      <c r="D315" s="946" t="s">
        <v>1211</v>
      </c>
    </row>
    <row r="316" spans="1:4" x14ac:dyDescent="0.25">
      <c r="A316" s="941"/>
      <c r="B316" s="644" t="s">
        <v>3462</v>
      </c>
      <c r="C316" s="645" t="s">
        <v>3502</v>
      </c>
      <c r="D316" s="947"/>
    </row>
    <row r="317" spans="1:4" ht="15.75" thickBot="1" x14ac:dyDescent="0.3">
      <c r="A317" s="942"/>
      <c r="B317" s="646" t="s">
        <v>3464</v>
      </c>
      <c r="C317" s="647" t="s">
        <v>56</v>
      </c>
      <c r="D317" s="948"/>
    </row>
    <row r="318" spans="1:4" x14ac:dyDescent="0.25">
      <c r="A318" s="940">
        <v>80</v>
      </c>
      <c r="B318" s="641" t="s">
        <v>3457</v>
      </c>
      <c r="C318" s="642" t="s">
        <v>3586</v>
      </c>
      <c r="D318" s="643" t="s">
        <v>3459</v>
      </c>
    </row>
    <row r="319" spans="1:4" x14ac:dyDescent="0.25">
      <c r="A319" s="941"/>
      <c r="B319" s="644" t="s">
        <v>3460</v>
      </c>
      <c r="C319" s="645" t="s">
        <v>811</v>
      </c>
      <c r="D319" s="946" t="s">
        <v>3587</v>
      </c>
    </row>
    <row r="320" spans="1:4" x14ac:dyDescent="0.25">
      <c r="A320" s="941"/>
      <c r="B320" s="644" t="s">
        <v>3462</v>
      </c>
      <c r="C320" s="645" t="s">
        <v>3502</v>
      </c>
      <c r="D320" s="947"/>
    </row>
    <row r="321" spans="1:4" ht="15.75" thickBot="1" x14ac:dyDescent="0.3">
      <c r="A321" s="942"/>
      <c r="B321" s="646" t="s">
        <v>3464</v>
      </c>
      <c r="C321" s="647" t="s">
        <v>56</v>
      </c>
      <c r="D321" s="948"/>
    </row>
    <row r="322" spans="1:4" x14ac:dyDescent="0.25">
      <c r="A322" s="940">
        <v>81</v>
      </c>
      <c r="B322" s="641" t="s">
        <v>3457</v>
      </c>
      <c r="C322" s="642" t="s">
        <v>3588</v>
      </c>
      <c r="D322" s="643" t="s">
        <v>3459</v>
      </c>
    </row>
    <row r="323" spans="1:4" ht="22.5" x14ac:dyDescent="0.25">
      <c r="A323" s="941"/>
      <c r="B323" s="644" t="s">
        <v>3460</v>
      </c>
      <c r="C323" s="645" t="s">
        <v>2667</v>
      </c>
      <c r="D323" s="946" t="s">
        <v>3497</v>
      </c>
    </row>
    <row r="324" spans="1:4" x14ac:dyDescent="0.25">
      <c r="A324" s="941"/>
      <c r="B324" s="644" t="s">
        <v>3462</v>
      </c>
      <c r="C324" s="645" t="s">
        <v>3502</v>
      </c>
      <c r="D324" s="947"/>
    </row>
    <row r="325" spans="1:4" ht="15.75" thickBot="1" x14ac:dyDescent="0.3">
      <c r="A325" s="942"/>
      <c r="B325" s="646" t="s">
        <v>3464</v>
      </c>
      <c r="C325" s="647" t="s">
        <v>56</v>
      </c>
      <c r="D325" s="948"/>
    </row>
    <row r="326" spans="1:4" x14ac:dyDescent="0.25">
      <c r="A326" s="940">
        <v>82</v>
      </c>
      <c r="B326" s="641" t="s">
        <v>3457</v>
      </c>
      <c r="C326" s="642" t="s">
        <v>3589</v>
      </c>
      <c r="D326" s="643" t="s">
        <v>3459</v>
      </c>
    </row>
    <row r="327" spans="1:4" x14ac:dyDescent="0.25">
      <c r="A327" s="941"/>
      <c r="B327" s="644" t="s">
        <v>3460</v>
      </c>
      <c r="C327" s="645" t="s">
        <v>844</v>
      </c>
      <c r="D327" s="946" t="s">
        <v>747</v>
      </c>
    </row>
    <row r="328" spans="1:4" x14ac:dyDescent="0.25">
      <c r="A328" s="941"/>
      <c r="B328" s="644" t="s">
        <v>3462</v>
      </c>
      <c r="C328" s="645" t="s">
        <v>3572</v>
      </c>
      <c r="D328" s="947"/>
    </row>
    <row r="329" spans="1:4" ht="15.75" thickBot="1" x14ac:dyDescent="0.3">
      <c r="A329" s="942"/>
      <c r="B329" s="646" t="s">
        <v>3464</v>
      </c>
      <c r="C329" s="647" t="s">
        <v>99</v>
      </c>
      <c r="D329" s="948"/>
    </row>
    <row r="330" spans="1:4" x14ac:dyDescent="0.25">
      <c r="A330" s="940">
        <v>83</v>
      </c>
      <c r="B330" s="641" t="s">
        <v>3457</v>
      </c>
      <c r="C330" s="642" t="s">
        <v>3590</v>
      </c>
      <c r="D330" s="643" t="s">
        <v>3459</v>
      </c>
    </row>
    <row r="331" spans="1:4" ht="22.5" x14ac:dyDescent="0.25">
      <c r="A331" s="941"/>
      <c r="B331" s="644" t="s">
        <v>3460</v>
      </c>
      <c r="C331" s="645" t="s">
        <v>856</v>
      </c>
      <c r="D331" s="946" t="s">
        <v>1308</v>
      </c>
    </row>
    <row r="332" spans="1:4" x14ac:dyDescent="0.25">
      <c r="A332" s="941"/>
      <c r="B332" s="644" t="s">
        <v>3462</v>
      </c>
      <c r="C332" s="645" t="s">
        <v>3502</v>
      </c>
      <c r="D332" s="947"/>
    </row>
    <row r="333" spans="1:4" ht="15.75" thickBot="1" x14ac:dyDescent="0.3">
      <c r="A333" s="942"/>
      <c r="B333" s="646" t="s">
        <v>3464</v>
      </c>
      <c r="C333" s="647" t="s">
        <v>56</v>
      </c>
      <c r="D333" s="948"/>
    </row>
    <row r="334" spans="1:4" x14ac:dyDescent="0.25">
      <c r="A334" s="940">
        <v>84</v>
      </c>
      <c r="B334" s="641" t="s">
        <v>3457</v>
      </c>
      <c r="C334" s="642" t="s">
        <v>3591</v>
      </c>
      <c r="D334" s="643" t="s">
        <v>3459</v>
      </c>
    </row>
    <row r="335" spans="1:4" ht="33.75" x14ac:dyDescent="0.25">
      <c r="A335" s="941"/>
      <c r="B335" s="644" t="s">
        <v>3460</v>
      </c>
      <c r="C335" s="645" t="s">
        <v>878</v>
      </c>
      <c r="D335" s="946" t="s">
        <v>3497</v>
      </c>
    </row>
    <row r="336" spans="1:4" x14ac:dyDescent="0.25">
      <c r="A336" s="941"/>
      <c r="B336" s="644" t="s">
        <v>3462</v>
      </c>
      <c r="C336" s="645" t="s">
        <v>3502</v>
      </c>
      <c r="D336" s="947"/>
    </row>
    <row r="337" spans="1:4" ht="15.75" thickBot="1" x14ac:dyDescent="0.3">
      <c r="A337" s="942"/>
      <c r="B337" s="646" t="s">
        <v>3464</v>
      </c>
      <c r="C337" s="647" t="s">
        <v>56</v>
      </c>
      <c r="D337" s="948"/>
    </row>
    <row r="338" spans="1:4" x14ac:dyDescent="0.25">
      <c r="A338" s="940">
        <v>85</v>
      </c>
      <c r="B338" s="641" t="s">
        <v>3457</v>
      </c>
      <c r="C338" s="642" t="s">
        <v>3592</v>
      </c>
      <c r="D338" s="643" t="s">
        <v>3459</v>
      </c>
    </row>
    <row r="339" spans="1:4" x14ac:dyDescent="0.25">
      <c r="A339" s="941"/>
      <c r="B339" s="644" t="s">
        <v>3460</v>
      </c>
      <c r="C339" s="645" t="s">
        <v>928</v>
      </c>
      <c r="D339" s="946" t="s">
        <v>1500</v>
      </c>
    </row>
    <row r="340" spans="1:4" x14ac:dyDescent="0.25">
      <c r="A340" s="941"/>
      <c r="B340" s="644" t="s">
        <v>3462</v>
      </c>
      <c r="C340" s="645" t="s">
        <v>3516</v>
      </c>
      <c r="D340" s="947"/>
    </row>
    <row r="341" spans="1:4" ht="15.75" thickBot="1" x14ac:dyDescent="0.3">
      <c r="A341" s="942"/>
      <c r="B341" s="646" t="s">
        <v>3464</v>
      </c>
      <c r="C341" s="647" t="s">
        <v>56</v>
      </c>
      <c r="D341" s="948"/>
    </row>
    <row r="342" spans="1:4" x14ac:dyDescent="0.25">
      <c r="A342" s="940">
        <v>86</v>
      </c>
      <c r="B342" s="641" t="s">
        <v>3457</v>
      </c>
      <c r="C342" s="642" t="s">
        <v>3593</v>
      </c>
      <c r="D342" s="643" t="s">
        <v>3459</v>
      </c>
    </row>
    <row r="343" spans="1:4" x14ac:dyDescent="0.25">
      <c r="A343" s="941"/>
      <c r="B343" s="644" t="s">
        <v>3460</v>
      </c>
      <c r="C343" s="645" t="s">
        <v>941</v>
      </c>
      <c r="D343" s="943" t="s">
        <v>1603</v>
      </c>
    </row>
    <row r="344" spans="1:4" x14ac:dyDescent="0.25">
      <c r="A344" s="941"/>
      <c r="B344" s="644" t="s">
        <v>3462</v>
      </c>
      <c r="C344" s="645" t="s">
        <v>3500</v>
      </c>
      <c r="D344" s="944"/>
    </row>
    <row r="345" spans="1:4" ht="15.75" thickBot="1" x14ac:dyDescent="0.3">
      <c r="A345" s="942"/>
      <c r="B345" s="646" t="s">
        <v>3464</v>
      </c>
      <c r="C345" s="647" t="s">
        <v>159</v>
      </c>
      <c r="D345" s="945"/>
    </row>
    <row r="346" spans="1:4" x14ac:dyDescent="0.25">
      <c r="A346" s="940">
        <v>87</v>
      </c>
      <c r="B346" s="641" t="s">
        <v>3457</v>
      </c>
      <c r="C346" s="642" t="s">
        <v>3594</v>
      </c>
      <c r="D346" s="643" t="s">
        <v>3459</v>
      </c>
    </row>
    <row r="347" spans="1:4" ht="22.5" x14ac:dyDescent="0.25">
      <c r="A347" s="941"/>
      <c r="B347" s="644" t="s">
        <v>3460</v>
      </c>
      <c r="C347" s="645" t="s">
        <v>954</v>
      </c>
      <c r="D347" s="946" t="s">
        <v>1228</v>
      </c>
    </row>
    <row r="348" spans="1:4" x14ac:dyDescent="0.25">
      <c r="A348" s="941"/>
      <c r="B348" s="644" t="s">
        <v>3462</v>
      </c>
      <c r="C348" s="645" t="s">
        <v>3502</v>
      </c>
      <c r="D348" s="947"/>
    </row>
    <row r="349" spans="1:4" ht="15.75" thickBot="1" x14ac:dyDescent="0.3">
      <c r="A349" s="942"/>
      <c r="B349" s="646" t="s">
        <v>3464</v>
      </c>
      <c r="C349" s="647" t="s">
        <v>56</v>
      </c>
      <c r="D349" s="948"/>
    </row>
    <row r="350" spans="1:4" x14ac:dyDescent="0.25">
      <c r="A350" s="940">
        <v>88</v>
      </c>
      <c r="B350" s="641" t="s">
        <v>3457</v>
      </c>
      <c r="C350" s="642" t="s">
        <v>3595</v>
      </c>
      <c r="D350" s="643" t="s">
        <v>3459</v>
      </c>
    </row>
    <row r="351" spans="1:4" ht="22.5" x14ac:dyDescent="0.25">
      <c r="A351" s="941"/>
      <c r="B351" s="644" t="s">
        <v>3460</v>
      </c>
      <c r="C351" s="645" t="s">
        <v>957</v>
      </c>
      <c r="D351" s="946" t="s">
        <v>747</v>
      </c>
    </row>
    <row r="352" spans="1:4" x14ac:dyDescent="0.25">
      <c r="A352" s="941"/>
      <c r="B352" s="644" t="s">
        <v>3462</v>
      </c>
      <c r="C352" s="645" t="s">
        <v>3502</v>
      </c>
      <c r="D352" s="947"/>
    </row>
    <row r="353" spans="1:4" ht="15.75" thickBot="1" x14ac:dyDescent="0.3">
      <c r="A353" s="942"/>
      <c r="B353" s="646" t="s">
        <v>3464</v>
      </c>
      <c r="C353" s="647" t="s">
        <v>56</v>
      </c>
      <c r="D353" s="948"/>
    </row>
    <row r="354" spans="1:4" x14ac:dyDescent="0.25">
      <c r="A354" s="940">
        <v>89</v>
      </c>
      <c r="B354" s="641" t="s">
        <v>3457</v>
      </c>
      <c r="C354" s="642" t="s">
        <v>3596</v>
      </c>
      <c r="D354" s="643" t="s">
        <v>3459</v>
      </c>
    </row>
    <row r="355" spans="1:4" x14ac:dyDescent="0.25">
      <c r="A355" s="941"/>
      <c r="B355" s="644" t="s">
        <v>3460</v>
      </c>
      <c r="C355" s="645" t="s">
        <v>3597</v>
      </c>
      <c r="D355" s="946" t="s">
        <v>3598</v>
      </c>
    </row>
    <row r="356" spans="1:4" x14ac:dyDescent="0.25">
      <c r="A356" s="941"/>
      <c r="B356" s="644" t="s">
        <v>3462</v>
      </c>
      <c r="C356" s="645" t="s">
        <v>3599</v>
      </c>
      <c r="D356" s="947"/>
    </row>
    <row r="357" spans="1:4" ht="15.75" thickBot="1" x14ac:dyDescent="0.3">
      <c r="A357" s="942"/>
      <c r="B357" s="646" t="s">
        <v>3464</v>
      </c>
      <c r="C357" s="647" t="s">
        <v>56</v>
      </c>
      <c r="D357" s="948"/>
    </row>
    <row r="358" spans="1:4" x14ac:dyDescent="0.25">
      <c r="A358" s="940">
        <v>90</v>
      </c>
      <c r="B358" s="641" t="s">
        <v>3457</v>
      </c>
      <c r="C358" s="642" t="s">
        <v>3600</v>
      </c>
      <c r="D358" s="643" t="s">
        <v>3459</v>
      </c>
    </row>
    <row r="359" spans="1:4" x14ac:dyDescent="0.25">
      <c r="A359" s="941"/>
      <c r="B359" s="644" t="s">
        <v>3460</v>
      </c>
      <c r="C359" s="645" t="s">
        <v>1909</v>
      </c>
      <c r="D359" s="946" t="s">
        <v>1226</v>
      </c>
    </row>
    <row r="360" spans="1:4" x14ac:dyDescent="0.25">
      <c r="A360" s="941"/>
      <c r="B360" s="644" t="s">
        <v>3462</v>
      </c>
      <c r="C360" s="645" t="s">
        <v>3502</v>
      </c>
      <c r="D360" s="947"/>
    </row>
    <row r="361" spans="1:4" ht="15.75" thickBot="1" x14ac:dyDescent="0.3">
      <c r="A361" s="942"/>
      <c r="B361" s="646" t="s">
        <v>3464</v>
      </c>
      <c r="C361" s="647" t="s">
        <v>56</v>
      </c>
      <c r="D361" s="948"/>
    </row>
    <row r="362" spans="1:4" x14ac:dyDescent="0.25">
      <c r="A362" s="940">
        <v>91</v>
      </c>
      <c r="B362" s="641" t="s">
        <v>3457</v>
      </c>
      <c r="C362" s="642" t="s">
        <v>3601</v>
      </c>
      <c r="D362" s="643" t="s">
        <v>3459</v>
      </c>
    </row>
    <row r="363" spans="1:4" ht="22.5" x14ac:dyDescent="0.25">
      <c r="A363" s="941"/>
      <c r="B363" s="644" t="s">
        <v>3460</v>
      </c>
      <c r="C363" s="645" t="s">
        <v>2758</v>
      </c>
      <c r="D363" s="946" t="s">
        <v>1184</v>
      </c>
    </row>
    <row r="364" spans="1:4" x14ac:dyDescent="0.25">
      <c r="A364" s="941"/>
      <c r="B364" s="644" t="s">
        <v>3462</v>
      </c>
      <c r="C364" s="645" t="s">
        <v>3502</v>
      </c>
      <c r="D364" s="947"/>
    </row>
    <row r="365" spans="1:4" ht="15.75" thickBot="1" x14ac:dyDescent="0.3">
      <c r="A365" s="942"/>
      <c r="B365" s="646" t="s">
        <v>3464</v>
      </c>
      <c r="C365" s="647" t="s">
        <v>56</v>
      </c>
      <c r="D365" s="948"/>
    </row>
    <row r="366" spans="1:4" x14ac:dyDescent="0.25">
      <c r="A366" s="940">
        <v>92</v>
      </c>
      <c r="B366" s="641" t="s">
        <v>3457</v>
      </c>
      <c r="C366" s="642" t="s">
        <v>3602</v>
      </c>
      <c r="D366" s="643" t="s">
        <v>3459</v>
      </c>
    </row>
    <row r="367" spans="1:4" x14ac:dyDescent="0.25">
      <c r="A367" s="941"/>
      <c r="B367" s="644" t="s">
        <v>3460</v>
      </c>
      <c r="C367" s="645" t="s">
        <v>2600</v>
      </c>
      <c r="D367" s="946" t="s">
        <v>2601</v>
      </c>
    </row>
    <row r="368" spans="1:4" x14ac:dyDescent="0.25">
      <c r="A368" s="941"/>
      <c r="B368" s="644" t="s">
        <v>3462</v>
      </c>
      <c r="C368" s="645" t="s">
        <v>3502</v>
      </c>
      <c r="D368" s="947"/>
    </row>
    <row r="369" spans="1:4" ht="15.75" thickBot="1" x14ac:dyDescent="0.3">
      <c r="A369" s="942"/>
      <c r="B369" s="646" t="s">
        <v>3464</v>
      </c>
      <c r="C369" s="647" t="s">
        <v>56</v>
      </c>
      <c r="D369" s="948"/>
    </row>
    <row r="370" spans="1:4" x14ac:dyDescent="0.25">
      <c r="A370" s="940">
        <v>93</v>
      </c>
      <c r="B370" s="641" t="s">
        <v>3457</v>
      </c>
      <c r="C370" s="642" t="s">
        <v>3603</v>
      </c>
      <c r="D370" s="643" t="s">
        <v>3459</v>
      </c>
    </row>
    <row r="371" spans="1:4" ht="22.5" x14ac:dyDescent="0.25">
      <c r="A371" s="941"/>
      <c r="B371" s="644" t="s">
        <v>3460</v>
      </c>
      <c r="C371" s="645" t="s">
        <v>1700</v>
      </c>
      <c r="D371" s="946" t="s">
        <v>1701</v>
      </c>
    </row>
    <row r="372" spans="1:4" x14ac:dyDescent="0.25">
      <c r="A372" s="941"/>
      <c r="B372" s="644" t="s">
        <v>3462</v>
      </c>
      <c r="C372" s="645" t="s">
        <v>3516</v>
      </c>
      <c r="D372" s="947"/>
    </row>
    <row r="373" spans="1:4" ht="15.75" thickBot="1" x14ac:dyDescent="0.3">
      <c r="A373" s="942"/>
      <c r="B373" s="646" t="s">
        <v>3464</v>
      </c>
      <c r="C373" s="647" t="s">
        <v>56</v>
      </c>
      <c r="D373" s="948"/>
    </row>
    <row r="374" spans="1:4" x14ac:dyDescent="0.25">
      <c r="A374" s="940">
        <v>94</v>
      </c>
      <c r="B374" s="641" t="s">
        <v>3457</v>
      </c>
      <c r="C374" s="642" t="s">
        <v>3604</v>
      </c>
      <c r="D374" s="643" t="s">
        <v>3459</v>
      </c>
    </row>
    <row r="375" spans="1:4" x14ac:dyDescent="0.25">
      <c r="A375" s="941"/>
      <c r="B375" s="644" t="s">
        <v>3460</v>
      </c>
      <c r="C375" s="645" t="s">
        <v>2939</v>
      </c>
      <c r="D375" s="946" t="s">
        <v>3605</v>
      </c>
    </row>
    <row r="376" spans="1:4" x14ac:dyDescent="0.25">
      <c r="A376" s="941"/>
      <c r="B376" s="644" t="s">
        <v>3462</v>
      </c>
      <c r="C376" s="645" t="s">
        <v>3516</v>
      </c>
      <c r="D376" s="947"/>
    </row>
    <row r="377" spans="1:4" ht="15.75" thickBot="1" x14ac:dyDescent="0.3">
      <c r="A377" s="942"/>
      <c r="B377" s="646" t="s">
        <v>3464</v>
      </c>
      <c r="C377" s="647" t="s">
        <v>56</v>
      </c>
      <c r="D377" s="948"/>
    </row>
    <row r="378" spans="1:4" x14ac:dyDescent="0.25">
      <c r="A378" s="940">
        <v>95</v>
      </c>
      <c r="B378" s="641" t="s">
        <v>3457</v>
      </c>
      <c r="C378" s="642" t="s">
        <v>3606</v>
      </c>
      <c r="D378" s="643" t="s">
        <v>3459</v>
      </c>
    </row>
    <row r="379" spans="1:4" ht="22.5" x14ac:dyDescent="0.25">
      <c r="A379" s="941"/>
      <c r="B379" s="644" t="s">
        <v>3460</v>
      </c>
      <c r="C379" s="645" t="s">
        <v>1706</v>
      </c>
      <c r="D379" s="946" t="s">
        <v>1707</v>
      </c>
    </row>
    <row r="380" spans="1:4" x14ac:dyDescent="0.25">
      <c r="A380" s="941"/>
      <c r="B380" s="644" t="s">
        <v>3462</v>
      </c>
      <c r="C380" s="645" t="s">
        <v>3516</v>
      </c>
      <c r="D380" s="947"/>
    </row>
    <row r="381" spans="1:4" ht="15.75" thickBot="1" x14ac:dyDescent="0.3">
      <c r="A381" s="942"/>
      <c r="B381" s="646" t="s">
        <v>3464</v>
      </c>
      <c r="C381" s="647" t="s">
        <v>56</v>
      </c>
      <c r="D381" s="948"/>
    </row>
    <row r="382" spans="1:4" x14ac:dyDescent="0.25">
      <c r="A382" s="940">
        <v>96</v>
      </c>
      <c r="B382" s="641" t="s">
        <v>3457</v>
      </c>
      <c r="C382" s="642" t="s">
        <v>3607</v>
      </c>
      <c r="D382" s="643" t="s">
        <v>3459</v>
      </c>
    </row>
    <row r="383" spans="1:4" ht="22.5" x14ac:dyDescent="0.25">
      <c r="A383" s="941"/>
      <c r="B383" s="644" t="s">
        <v>3460</v>
      </c>
      <c r="C383" s="645" t="s">
        <v>2937</v>
      </c>
      <c r="D383" s="946" t="s">
        <v>3536</v>
      </c>
    </row>
    <row r="384" spans="1:4" x14ac:dyDescent="0.25">
      <c r="A384" s="941"/>
      <c r="B384" s="644" t="s">
        <v>3462</v>
      </c>
      <c r="C384" s="645" t="s">
        <v>3516</v>
      </c>
      <c r="D384" s="947"/>
    </row>
    <row r="385" spans="1:4" ht="15.75" thickBot="1" x14ac:dyDescent="0.3">
      <c r="A385" s="942"/>
      <c r="B385" s="646" t="s">
        <v>3464</v>
      </c>
      <c r="C385" s="647" t="s">
        <v>56</v>
      </c>
      <c r="D385" s="948"/>
    </row>
    <row r="386" spans="1:4" x14ac:dyDescent="0.25">
      <c r="A386" s="940">
        <v>97</v>
      </c>
      <c r="B386" s="641" t="s">
        <v>3457</v>
      </c>
      <c r="C386" s="642" t="s">
        <v>3608</v>
      </c>
      <c r="D386" s="643" t="s">
        <v>3459</v>
      </c>
    </row>
    <row r="387" spans="1:4" x14ac:dyDescent="0.25">
      <c r="A387" s="941"/>
      <c r="B387" s="644" t="s">
        <v>3460</v>
      </c>
      <c r="C387" s="645" t="s">
        <v>3609</v>
      </c>
      <c r="D387" s="946" t="s">
        <v>1646</v>
      </c>
    </row>
    <row r="388" spans="1:4" x14ac:dyDescent="0.25">
      <c r="A388" s="941"/>
      <c r="B388" s="644" t="s">
        <v>3462</v>
      </c>
      <c r="C388" s="645" t="s">
        <v>3516</v>
      </c>
      <c r="D388" s="947"/>
    </row>
    <row r="389" spans="1:4" ht="15.75" thickBot="1" x14ac:dyDescent="0.3">
      <c r="A389" s="942"/>
      <c r="B389" s="646" t="s">
        <v>3464</v>
      </c>
      <c r="C389" s="647" t="s">
        <v>99</v>
      </c>
      <c r="D389" s="948"/>
    </row>
    <row r="390" spans="1:4" x14ac:dyDescent="0.25">
      <c r="A390" s="940">
        <v>98</v>
      </c>
      <c r="B390" s="641" t="s">
        <v>3457</v>
      </c>
      <c r="C390" s="642" t="s">
        <v>3610</v>
      </c>
      <c r="D390" s="643" t="s">
        <v>3459</v>
      </c>
    </row>
    <row r="391" spans="1:4" ht="22.5" x14ac:dyDescent="0.25">
      <c r="A391" s="941"/>
      <c r="B391" s="644" t="s">
        <v>3460</v>
      </c>
      <c r="C391" s="645" t="s">
        <v>1649</v>
      </c>
      <c r="D391" s="946" t="s">
        <v>2560</v>
      </c>
    </row>
    <row r="392" spans="1:4" x14ac:dyDescent="0.25">
      <c r="A392" s="941"/>
      <c r="B392" s="644" t="s">
        <v>3462</v>
      </c>
      <c r="C392" s="645" t="s">
        <v>3516</v>
      </c>
      <c r="D392" s="947"/>
    </row>
    <row r="393" spans="1:4" ht="15.75" thickBot="1" x14ac:dyDescent="0.3">
      <c r="A393" s="942"/>
      <c r="B393" s="646" t="s">
        <v>3464</v>
      </c>
      <c r="C393" s="647" t="s">
        <v>99</v>
      </c>
      <c r="D393" s="948"/>
    </row>
    <row r="394" spans="1:4" x14ac:dyDescent="0.25">
      <c r="A394" s="940">
        <v>99</v>
      </c>
      <c r="B394" s="641" t="s">
        <v>3457</v>
      </c>
      <c r="C394" s="642" t="s">
        <v>3611</v>
      </c>
      <c r="D394" s="643" t="s">
        <v>3459</v>
      </c>
    </row>
    <row r="395" spans="1:4" ht="22.5" x14ac:dyDescent="0.25">
      <c r="A395" s="941"/>
      <c r="B395" s="644" t="s">
        <v>3460</v>
      </c>
      <c r="C395" s="645" t="s">
        <v>1565</v>
      </c>
      <c r="D395" s="946" t="s">
        <v>3612</v>
      </c>
    </row>
    <row r="396" spans="1:4" x14ac:dyDescent="0.25">
      <c r="A396" s="941"/>
      <c r="B396" s="644" t="s">
        <v>3462</v>
      </c>
      <c r="C396" s="645" t="s">
        <v>3613</v>
      </c>
      <c r="D396" s="947"/>
    </row>
    <row r="397" spans="1:4" ht="15.75" thickBot="1" x14ac:dyDescent="0.3">
      <c r="A397" s="942"/>
      <c r="B397" s="646" t="s">
        <v>3464</v>
      </c>
      <c r="C397" s="647" t="s">
        <v>1566</v>
      </c>
      <c r="D397" s="948"/>
    </row>
    <row r="398" spans="1:4" x14ac:dyDescent="0.25">
      <c r="A398" s="940">
        <v>100</v>
      </c>
      <c r="B398" s="641" t="s">
        <v>3457</v>
      </c>
      <c r="C398" s="642" t="s">
        <v>3614</v>
      </c>
      <c r="D398" s="643" t="s">
        <v>3459</v>
      </c>
    </row>
    <row r="399" spans="1:4" x14ac:dyDescent="0.25">
      <c r="A399" s="941"/>
      <c r="B399" s="644" t="s">
        <v>3460</v>
      </c>
      <c r="C399" s="645" t="s">
        <v>1568</v>
      </c>
      <c r="D399" s="943" t="s">
        <v>3615</v>
      </c>
    </row>
    <row r="400" spans="1:4" x14ac:dyDescent="0.25">
      <c r="A400" s="941"/>
      <c r="B400" s="644" t="s">
        <v>3462</v>
      </c>
      <c r="C400" s="645" t="s">
        <v>3613</v>
      </c>
      <c r="D400" s="944"/>
    </row>
    <row r="401" spans="1:4" ht="15.75" thickBot="1" x14ac:dyDescent="0.3">
      <c r="A401" s="942"/>
      <c r="B401" s="646" t="s">
        <v>3464</v>
      </c>
      <c r="C401" s="647" t="s">
        <v>56</v>
      </c>
      <c r="D401" s="945"/>
    </row>
    <row r="402" spans="1:4" x14ac:dyDescent="0.25">
      <c r="A402" s="940">
        <v>101</v>
      </c>
      <c r="B402" s="641" t="s">
        <v>3457</v>
      </c>
      <c r="C402" s="642" t="s">
        <v>3616</v>
      </c>
      <c r="D402" s="643" t="s">
        <v>3459</v>
      </c>
    </row>
    <row r="403" spans="1:4" x14ac:dyDescent="0.25">
      <c r="A403" s="941"/>
      <c r="B403" s="644" t="s">
        <v>3460</v>
      </c>
      <c r="C403" s="645" t="s">
        <v>885</v>
      </c>
      <c r="D403" s="946" t="s">
        <v>1511</v>
      </c>
    </row>
    <row r="404" spans="1:4" x14ac:dyDescent="0.25">
      <c r="A404" s="941"/>
      <c r="B404" s="644" t="s">
        <v>3462</v>
      </c>
      <c r="C404" s="645" t="s">
        <v>3502</v>
      </c>
      <c r="D404" s="947"/>
    </row>
    <row r="405" spans="1:4" ht="15.75" thickBot="1" x14ac:dyDescent="0.3">
      <c r="A405" s="942"/>
      <c r="B405" s="646" t="s">
        <v>3464</v>
      </c>
      <c r="C405" s="647" t="s">
        <v>56</v>
      </c>
      <c r="D405" s="948"/>
    </row>
    <row r="406" spans="1:4" x14ac:dyDescent="0.25">
      <c r="A406" s="940">
        <v>102</v>
      </c>
      <c r="B406" s="641" t="s">
        <v>3457</v>
      </c>
      <c r="C406" s="642" t="s">
        <v>3617</v>
      </c>
      <c r="D406" s="643" t="s">
        <v>3459</v>
      </c>
    </row>
    <row r="407" spans="1:4" ht="22.5" x14ac:dyDescent="0.25">
      <c r="A407" s="941"/>
      <c r="B407" s="644" t="s">
        <v>3460</v>
      </c>
      <c r="C407" s="645" t="s">
        <v>887</v>
      </c>
      <c r="D407" s="946" t="s">
        <v>1515</v>
      </c>
    </row>
    <row r="408" spans="1:4" x14ac:dyDescent="0.25">
      <c r="A408" s="941"/>
      <c r="B408" s="644" t="s">
        <v>3462</v>
      </c>
      <c r="C408" s="645" t="s">
        <v>3502</v>
      </c>
      <c r="D408" s="947"/>
    </row>
    <row r="409" spans="1:4" ht="15.75" thickBot="1" x14ac:dyDescent="0.3">
      <c r="A409" s="942"/>
      <c r="B409" s="646" t="s">
        <v>3464</v>
      </c>
      <c r="C409" s="647" t="s">
        <v>56</v>
      </c>
      <c r="D409" s="948"/>
    </row>
    <row r="410" spans="1:4" x14ac:dyDescent="0.25">
      <c r="A410" s="940">
        <v>103</v>
      </c>
      <c r="B410" s="641" t="s">
        <v>3457</v>
      </c>
      <c r="C410" s="642" t="s">
        <v>3618</v>
      </c>
      <c r="D410" s="643" t="s">
        <v>3459</v>
      </c>
    </row>
    <row r="411" spans="1:4" ht="33.75" x14ac:dyDescent="0.25">
      <c r="A411" s="941"/>
      <c r="B411" s="644" t="s">
        <v>3460</v>
      </c>
      <c r="C411" s="645" t="s">
        <v>889</v>
      </c>
      <c r="D411" s="946" t="s">
        <v>1511</v>
      </c>
    </row>
    <row r="412" spans="1:4" x14ac:dyDescent="0.25">
      <c r="A412" s="941"/>
      <c r="B412" s="644" t="s">
        <v>3462</v>
      </c>
      <c r="C412" s="645" t="s">
        <v>3502</v>
      </c>
      <c r="D412" s="947"/>
    </row>
    <row r="413" spans="1:4" ht="15.75" thickBot="1" x14ac:dyDescent="0.3">
      <c r="A413" s="942"/>
      <c r="B413" s="646" t="s">
        <v>3464</v>
      </c>
      <c r="C413" s="647" t="s">
        <v>56</v>
      </c>
      <c r="D413" s="948"/>
    </row>
    <row r="414" spans="1:4" x14ac:dyDescent="0.25">
      <c r="A414" s="940">
        <v>104</v>
      </c>
      <c r="B414" s="641" t="s">
        <v>3457</v>
      </c>
      <c r="C414" s="642" t="s">
        <v>3619</v>
      </c>
      <c r="D414" s="643" t="s">
        <v>3459</v>
      </c>
    </row>
    <row r="415" spans="1:4" ht="22.5" x14ac:dyDescent="0.25">
      <c r="A415" s="941"/>
      <c r="B415" s="644" t="s">
        <v>3460</v>
      </c>
      <c r="C415" s="645" t="s">
        <v>891</v>
      </c>
      <c r="D415" s="946" t="s">
        <v>1524</v>
      </c>
    </row>
    <row r="416" spans="1:4" x14ac:dyDescent="0.25">
      <c r="A416" s="941"/>
      <c r="B416" s="644" t="s">
        <v>3462</v>
      </c>
      <c r="C416" s="645" t="s">
        <v>3599</v>
      </c>
      <c r="D416" s="947"/>
    </row>
    <row r="417" spans="1:4" ht="15.75" thickBot="1" x14ac:dyDescent="0.3">
      <c r="A417" s="942"/>
      <c r="B417" s="646" t="s">
        <v>3464</v>
      </c>
      <c r="C417" s="647" t="s">
        <v>56</v>
      </c>
      <c r="D417" s="948"/>
    </row>
    <row r="418" spans="1:4" x14ac:dyDescent="0.25">
      <c r="A418" s="940">
        <v>105</v>
      </c>
      <c r="B418" s="641" t="s">
        <v>3457</v>
      </c>
      <c r="C418" s="642" t="s">
        <v>3620</v>
      </c>
      <c r="D418" s="643" t="s">
        <v>3459</v>
      </c>
    </row>
    <row r="419" spans="1:4" ht="22.5" x14ac:dyDescent="0.25">
      <c r="A419" s="941"/>
      <c r="B419" s="644" t="s">
        <v>3460</v>
      </c>
      <c r="C419" s="645" t="s">
        <v>893</v>
      </c>
      <c r="D419" s="946" t="s">
        <v>1526</v>
      </c>
    </row>
    <row r="420" spans="1:4" x14ac:dyDescent="0.25">
      <c r="A420" s="941"/>
      <c r="B420" s="644" t="s">
        <v>3462</v>
      </c>
      <c r="C420" s="645" t="s">
        <v>3599</v>
      </c>
      <c r="D420" s="947"/>
    </row>
    <row r="421" spans="1:4" ht="15.75" thickBot="1" x14ac:dyDescent="0.3">
      <c r="A421" s="942"/>
      <c r="B421" s="646" t="s">
        <v>3464</v>
      </c>
      <c r="C421" s="647" t="s">
        <v>56</v>
      </c>
      <c r="D421" s="948"/>
    </row>
    <row r="422" spans="1:4" x14ac:dyDescent="0.25">
      <c r="A422" s="940">
        <v>106</v>
      </c>
      <c r="B422" s="641" t="s">
        <v>3457</v>
      </c>
      <c r="C422" s="642" t="s">
        <v>3621</v>
      </c>
      <c r="D422" s="643" t="s">
        <v>3459</v>
      </c>
    </row>
    <row r="423" spans="1:4" ht="22.5" x14ac:dyDescent="0.25">
      <c r="A423" s="941"/>
      <c r="B423" s="644" t="s">
        <v>3460</v>
      </c>
      <c r="C423" s="645" t="s">
        <v>895</v>
      </c>
      <c r="D423" s="946" t="s">
        <v>1529</v>
      </c>
    </row>
    <row r="424" spans="1:4" x14ac:dyDescent="0.25">
      <c r="A424" s="941"/>
      <c r="B424" s="644" t="s">
        <v>3462</v>
      </c>
      <c r="C424" s="645" t="s">
        <v>3599</v>
      </c>
      <c r="D424" s="947"/>
    </row>
    <row r="425" spans="1:4" ht="15.75" thickBot="1" x14ac:dyDescent="0.3">
      <c r="A425" s="942"/>
      <c r="B425" s="646" t="s">
        <v>3464</v>
      </c>
      <c r="C425" s="647" t="s">
        <v>56</v>
      </c>
      <c r="D425" s="948"/>
    </row>
    <row r="426" spans="1:4" x14ac:dyDescent="0.25">
      <c r="A426" s="940">
        <v>107</v>
      </c>
      <c r="B426" s="641" t="s">
        <v>3457</v>
      </c>
      <c r="C426" s="642" t="s">
        <v>3622</v>
      </c>
      <c r="D426" s="643" t="s">
        <v>3459</v>
      </c>
    </row>
    <row r="427" spans="1:4" ht="22.5" x14ac:dyDescent="0.25">
      <c r="A427" s="941"/>
      <c r="B427" s="644" t="s">
        <v>3460</v>
      </c>
      <c r="C427" s="645" t="s">
        <v>897</v>
      </c>
      <c r="D427" s="946" t="s">
        <v>1531</v>
      </c>
    </row>
    <row r="428" spans="1:4" x14ac:dyDescent="0.25">
      <c r="A428" s="941"/>
      <c r="B428" s="644" t="s">
        <v>3462</v>
      </c>
      <c r="C428" s="645" t="s">
        <v>3599</v>
      </c>
      <c r="D428" s="947"/>
    </row>
    <row r="429" spans="1:4" ht="15.75" thickBot="1" x14ac:dyDescent="0.3">
      <c r="A429" s="942"/>
      <c r="B429" s="646" t="s">
        <v>3464</v>
      </c>
      <c r="C429" s="647" t="s">
        <v>56</v>
      </c>
      <c r="D429" s="948"/>
    </row>
    <row r="430" spans="1:4" x14ac:dyDescent="0.25">
      <c r="A430" s="940">
        <v>108</v>
      </c>
      <c r="B430" s="641" t="s">
        <v>3457</v>
      </c>
      <c r="C430" s="642" t="s">
        <v>3623</v>
      </c>
      <c r="D430" s="643" t="s">
        <v>3459</v>
      </c>
    </row>
    <row r="431" spans="1:4" ht="33.75" x14ac:dyDescent="0.25">
      <c r="A431" s="941"/>
      <c r="B431" s="644" t="s">
        <v>3460</v>
      </c>
      <c r="C431" s="645" t="s">
        <v>901</v>
      </c>
      <c r="D431" s="946" t="s">
        <v>1511</v>
      </c>
    </row>
    <row r="432" spans="1:4" x14ac:dyDescent="0.25">
      <c r="A432" s="941"/>
      <c r="B432" s="644" t="s">
        <v>3462</v>
      </c>
      <c r="C432" s="645" t="s">
        <v>3599</v>
      </c>
      <c r="D432" s="947"/>
    </row>
    <row r="433" spans="1:4" ht="15.75" thickBot="1" x14ac:dyDescent="0.3">
      <c r="A433" s="942"/>
      <c r="B433" s="646" t="s">
        <v>3464</v>
      </c>
      <c r="C433" s="647" t="s">
        <v>56</v>
      </c>
      <c r="D433" s="948"/>
    </row>
    <row r="434" spans="1:4" x14ac:dyDescent="0.25">
      <c r="A434" s="940">
        <v>109</v>
      </c>
      <c r="B434" s="641" t="s">
        <v>3457</v>
      </c>
      <c r="C434" s="642" t="s">
        <v>3624</v>
      </c>
      <c r="D434" s="643" t="s">
        <v>3459</v>
      </c>
    </row>
    <row r="435" spans="1:4" ht="22.5" x14ac:dyDescent="0.25">
      <c r="A435" s="941"/>
      <c r="B435" s="644" t="s">
        <v>3460</v>
      </c>
      <c r="C435" s="645" t="s">
        <v>3625</v>
      </c>
      <c r="D435" s="943" t="s">
        <v>3497</v>
      </c>
    </row>
    <row r="436" spans="1:4" x14ac:dyDescent="0.25">
      <c r="A436" s="941"/>
      <c r="B436" s="644" t="s">
        <v>3462</v>
      </c>
      <c r="C436" s="645" t="s">
        <v>3502</v>
      </c>
      <c r="D436" s="944"/>
    </row>
    <row r="437" spans="1:4" ht="15.75" thickBot="1" x14ac:dyDescent="0.3">
      <c r="A437" s="942"/>
      <c r="B437" s="646" t="s">
        <v>3464</v>
      </c>
      <c r="C437" s="647" t="s">
        <v>56</v>
      </c>
      <c r="D437" s="945"/>
    </row>
    <row r="438" spans="1:4" x14ac:dyDescent="0.25">
      <c r="A438" s="940">
        <v>110</v>
      </c>
      <c r="B438" s="641" t="s">
        <v>3457</v>
      </c>
      <c r="C438" s="642" t="s">
        <v>3626</v>
      </c>
      <c r="D438" s="643" t="s">
        <v>3459</v>
      </c>
    </row>
    <row r="439" spans="1:4" ht="33.75" x14ac:dyDescent="0.25">
      <c r="A439" s="941"/>
      <c r="B439" s="644" t="s">
        <v>3460</v>
      </c>
      <c r="C439" s="645" t="s">
        <v>2729</v>
      </c>
      <c r="D439" s="943" t="s">
        <v>3627</v>
      </c>
    </row>
    <row r="440" spans="1:4" x14ac:dyDescent="0.25">
      <c r="A440" s="941"/>
      <c r="B440" s="644" t="s">
        <v>3462</v>
      </c>
      <c r="C440" s="645" t="s">
        <v>3500</v>
      </c>
      <c r="D440" s="944"/>
    </row>
    <row r="441" spans="1:4" ht="15.75" thickBot="1" x14ac:dyDescent="0.3">
      <c r="A441" s="942"/>
      <c r="B441" s="646" t="s">
        <v>3464</v>
      </c>
      <c r="C441" s="647" t="s">
        <v>56</v>
      </c>
      <c r="D441" s="945"/>
    </row>
    <row r="442" spans="1:4" x14ac:dyDescent="0.25">
      <c r="A442" s="940">
        <v>111</v>
      </c>
      <c r="B442" s="641" t="s">
        <v>3457</v>
      </c>
      <c r="C442" s="642" t="s">
        <v>3628</v>
      </c>
      <c r="D442" s="643" t="s">
        <v>3459</v>
      </c>
    </row>
    <row r="443" spans="1:4" ht="33.75" x14ac:dyDescent="0.25">
      <c r="A443" s="941"/>
      <c r="B443" s="644" t="s">
        <v>3460</v>
      </c>
      <c r="C443" s="645" t="s">
        <v>2687</v>
      </c>
      <c r="D443" s="943" t="s">
        <v>3627</v>
      </c>
    </row>
    <row r="444" spans="1:4" x14ac:dyDescent="0.25">
      <c r="A444" s="941"/>
      <c r="B444" s="644" t="s">
        <v>3462</v>
      </c>
      <c r="C444" s="645" t="s">
        <v>3500</v>
      </c>
      <c r="D444" s="944"/>
    </row>
    <row r="445" spans="1:4" ht="15.75" thickBot="1" x14ac:dyDescent="0.3">
      <c r="A445" s="942"/>
      <c r="B445" s="646" t="s">
        <v>3464</v>
      </c>
      <c r="C445" s="647" t="s">
        <v>56</v>
      </c>
      <c r="D445" s="945"/>
    </row>
    <row r="446" spans="1:4" x14ac:dyDescent="0.25">
      <c r="A446" s="940">
        <v>112</v>
      </c>
      <c r="B446" s="641" t="s">
        <v>3457</v>
      </c>
      <c r="C446" s="642" t="s">
        <v>3629</v>
      </c>
      <c r="D446" s="643" t="s">
        <v>3459</v>
      </c>
    </row>
    <row r="447" spans="1:4" ht="33.75" x14ac:dyDescent="0.25">
      <c r="A447" s="941"/>
      <c r="B447" s="644" t="s">
        <v>3460</v>
      </c>
      <c r="C447" s="645" t="s">
        <v>803</v>
      </c>
      <c r="D447" s="943" t="s">
        <v>3627</v>
      </c>
    </row>
    <row r="448" spans="1:4" x14ac:dyDescent="0.25">
      <c r="A448" s="941"/>
      <c r="B448" s="644" t="s">
        <v>3462</v>
      </c>
      <c r="C448" s="645" t="s">
        <v>3500</v>
      </c>
      <c r="D448" s="944"/>
    </row>
    <row r="449" spans="1:4" ht="15.75" thickBot="1" x14ac:dyDescent="0.3">
      <c r="A449" s="942"/>
      <c r="B449" s="646" t="s">
        <v>3464</v>
      </c>
      <c r="C449" s="647" t="s">
        <v>56</v>
      </c>
      <c r="D449" s="945"/>
    </row>
    <row r="450" spans="1:4" x14ac:dyDescent="0.25">
      <c r="A450" s="940">
        <v>113</v>
      </c>
      <c r="B450" s="641" t="s">
        <v>3457</v>
      </c>
      <c r="C450" s="642" t="s">
        <v>3630</v>
      </c>
      <c r="D450" s="643" t="s">
        <v>3459</v>
      </c>
    </row>
    <row r="451" spans="1:4" x14ac:dyDescent="0.25">
      <c r="A451" s="941"/>
      <c r="B451" s="644" t="s">
        <v>3460</v>
      </c>
      <c r="C451" s="645" t="s">
        <v>1600</v>
      </c>
      <c r="D451" s="943" t="s">
        <v>1599</v>
      </c>
    </row>
    <row r="452" spans="1:4" x14ac:dyDescent="0.25">
      <c r="A452" s="941"/>
      <c r="B452" s="644" t="s">
        <v>3462</v>
      </c>
      <c r="C452" s="645" t="s">
        <v>3502</v>
      </c>
      <c r="D452" s="944"/>
    </row>
    <row r="453" spans="1:4" ht="15.75" thickBot="1" x14ac:dyDescent="0.3">
      <c r="A453" s="942"/>
      <c r="B453" s="646" t="s">
        <v>3464</v>
      </c>
      <c r="C453" s="647" t="s">
        <v>1116</v>
      </c>
      <c r="D453" s="945"/>
    </row>
    <row r="454" spans="1:4" x14ac:dyDescent="0.25">
      <c r="A454" s="940">
        <v>114</v>
      </c>
      <c r="B454" s="641" t="s">
        <v>3457</v>
      </c>
      <c r="C454" s="642" t="s">
        <v>3631</v>
      </c>
      <c r="D454" s="643" t="s">
        <v>3459</v>
      </c>
    </row>
    <row r="455" spans="1:4" ht="22.5" x14ac:dyDescent="0.25">
      <c r="A455" s="941"/>
      <c r="B455" s="644" t="s">
        <v>3460</v>
      </c>
      <c r="C455" s="645" t="s">
        <v>3340</v>
      </c>
      <c r="D455" s="946" t="s">
        <v>747</v>
      </c>
    </row>
    <row r="456" spans="1:4" x14ac:dyDescent="0.25">
      <c r="A456" s="941"/>
      <c r="B456" s="644" t="s">
        <v>3462</v>
      </c>
      <c r="C456" s="645" t="s">
        <v>3482</v>
      </c>
      <c r="D456" s="947"/>
    </row>
    <row r="457" spans="1:4" ht="15.75" thickBot="1" x14ac:dyDescent="0.3">
      <c r="A457" s="942"/>
      <c r="B457" s="646" t="s">
        <v>3464</v>
      </c>
      <c r="C457" s="647" t="s">
        <v>56</v>
      </c>
      <c r="D457" s="948"/>
    </row>
    <row r="458" spans="1:4" x14ac:dyDescent="0.25">
      <c r="A458" s="940">
        <v>115</v>
      </c>
      <c r="B458" s="641" t="s">
        <v>3457</v>
      </c>
      <c r="C458" s="642" t="s">
        <v>3632</v>
      </c>
      <c r="D458" s="643" t="s">
        <v>3459</v>
      </c>
    </row>
    <row r="459" spans="1:4" ht="22.5" x14ac:dyDescent="0.25">
      <c r="A459" s="941"/>
      <c r="B459" s="644" t="s">
        <v>3460</v>
      </c>
      <c r="C459" s="645" t="s">
        <v>3444</v>
      </c>
      <c r="D459" s="946" t="s">
        <v>3633</v>
      </c>
    </row>
    <row r="460" spans="1:4" x14ac:dyDescent="0.25">
      <c r="A460" s="941"/>
      <c r="B460" s="644" t="s">
        <v>3462</v>
      </c>
      <c r="C460" s="645" t="s">
        <v>3562</v>
      </c>
      <c r="D460" s="947"/>
    </row>
    <row r="461" spans="1:4" ht="15.75" thickBot="1" x14ac:dyDescent="0.3">
      <c r="A461" s="942"/>
      <c r="B461" s="646" t="s">
        <v>3464</v>
      </c>
      <c r="C461" s="647" t="s">
        <v>56</v>
      </c>
      <c r="D461" s="948"/>
    </row>
    <row r="462" spans="1:4" x14ac:dyDescent="0.25">
      <c r="A462" s="940">
        <v>116</v>
      </c>
      <c r="B462" s="641" t="s">
        <v>3457</v>
      </c>
      <c r="C462" s="642" t="s">
        <v>3634</v>
      </c>
      <c r="D462" s="643" t="s">
        <v>3459</v>
      </c>
    </row>
    <row r="463" spans="1:4" ht="33.75" x14ac:dyDescent="0.25">
      <c r="A463" s="941"/>
      <c r="B463" s="644" t="s">
        <v>3460</v>
      </c>
      <c r="C463" s="645" t="s">
        <v>3635</v>
      </c>
      <c r="D463" s="946" t="s">
        <v>3636</v>
      </c>
    </row>
    <row r="464" spans="1:4" x14ac:dyDescent="0.25">
      <c r="A464" s="941"/>
      <c r="B464" s="644" t="s">
        <v>3462</v>
      </c>
      <c r="C464" s="645" t="s">
        <v>3500</v>
      </c>
      <c r="D464" s="947"/>
    </row>
    <row r="465" spans="1:4" ht="15.75" thickBot="1" x14ac:dyDescent="0.3">
      <c r="A465" s="942"/>
      <c r="B465" s="646" t="s">
        <v>3464</v>
      </c>
      <c r="C465" s="647" t="s">
        <v>159</v>
      </c>
      <c r="D465" s="948"/>
    </row>
    <row r="466" spans="1:4" x14ac:dyDescent="0.25">
      <c r="A466" s="940">
        <v>117</v>
      </c>
      <c r="B466" s="641" t="s">
        <v>3457</v>
      </c>
      <c r="C466" s="642" t="s">
        <v>3637</v>
      </c>
      <c r="D466" s="643" t="s">
        <v>3459</v>
      </c>
    </row>
    <row r="467" spans="1:4" x14ac:dyDescent="0.25">
      <c r="A467" s="941"/>
      <c r="B467" s="644" t="s">
        <v>3460</v>
      </c>
      <c r="C467" s="645" t="s">
        <v>848</v>
      </c>
      <c r="D467" s="946" t="s">
        <v>3638</v>
      </c>
    </row>
    <row r="468" spans="1:4" x14ac:dyDescent="0.25">
      <c r="A468" s="941"/>
      <c r="B468" s="644" t="s">
        <v>3462</v>
      </c>
      <c r="C468" s="645" t="s">
        <v>3463</v>
      </c>
      <c r="D468" s="947"/>
    </row>
    <row r="469" spans="1:4" ht="15.75" thickBot="1" x14ac:dyDescent="0.3">
      <c r="A469" s="942"/>
      <c r="B469" s="646" t="s">
        <v>3464</v>
      </c>
      <c r="C469" s="647" t="s">
        <v>56</v>
      </c>
      <c r="D469" s="948"/>
    </row>
    <row r="470" spans="1:4" x14ac:dyDescent="0.25">
      <c r="A470" s="940">
        <v>118</v>
      </c>
      <c r="B470" s="641" t="s">
        <v>3457</v>
      </c>
      <c r="C470" s="642" t="s">
        <v>3639</v>
      </c>
      <c r="D470" s="643" t="s">
        <v>3459</v>
      </c>
    </row>
    <row r="471" spans="1:4" x14ac:dyDescent="0.25">
      <c r="A471" s="941"/>
      <c r="B471" s="644" t="s">
        <v>3460</v>
      </c>
      <c r="C471" s="645" t="s">
        <v>851</v>
      </c>
      <c r="D471" s="943"/>
    </row>
    <row r="472" spans="1:4" x14ac:dyDescent="0.25">
      <c r="A472" s="941"/>
      <c r="B472" s="644" t="s">
        <v>3462</v>
      </c>
      <c r="C472" s="645" t="s">
        <v>3463</v>
      </c>
      <c r="D472" s="944"/>
    </row>
    <row r="473" spans="1:4" ht="15.75" thickBot="1" x14ac:dyDescent="0.3">
      <c r="A473" s="942"/>
      <c r="B473" s="646" t="s">
        <v>3464</v>
      </c>
      <c r="C473" s="647" t="s">
        <v>56</v>
      </c>
      <c r="D473" s="945"/>
    </row>
    <row r="474" spans="1:4" x14ac:dyDescent="0.25">
      <c r="A474" s="940">
        <v>119</v>
      </c>
      <c r="B474" s="641" t="s">
        <v>3457</v>
      </c>
      <c r="C474" s="642" t="s">
        <v>3640</v>
      </c>
      <c r="D474" s="643" t="s">
        <v>3459</v>
      </c>
    </row>
    <row r="475" spans="1:4" x14ac:dyDescent="0.25">
      <c r="A475" s="941"/>
      <c r="B475" s="644" t="s">
        <v>3460</v>
      </c>
      <c r="C475" s="645" t="s">
        <v>3641</v>
      </c>
      <c r="D475" s="943" t="s">
        <v>3642</v>
      </c>
    </row>
    <row r="476" spans="1:4" x14ac:dyDescent="0.25">
      <c r="A476" s="941"/>
      <c r="B476" s="644" t="s">
        <v>3462</v>
      </c>
      <c r="C476" s="645" t="s">
        <v>3463</v>
      </c>
      <c r="D476" s="944"/>
    </row>
    <row r="477" spans="1:4" ht="15.75" thickBot="1" x14ac:dyDescent="0.3">
      <c r="A477" s="942"/>
      <c r="B477" s="646" t="s">
        <v>3464</v>
      </c>
      <c r="C477" s="647" t="s">
        <v>56</v>
      </c>
      <c r="D477" s="945"/>
    </row>
    <row r="478" spans="1:4" x14ac:dyDescent="0.25">
      <c r="A478" s="940">
        <v>120</v>
      </c>
      <c r="B478" s="641" t="s">
        <v>3457</v>
      </c>
      <c r="C478" s="642" t="s">
        <v>3643</v>
      </c>
      <c r="D478" s="643" t="s">
        <v>3459</v>
      </c>
    </row>
    <row r="479" spans="1:4" ht="22.5" x14ac:dyDescent="0.25">
      <c r="A479" s="941"/>
      <c r="B479" s="644" t="s">
        <v>3460</v>
      </c>
      <c r="C479" s="645" t="s">
        <v>3143</v>
      </c>
      <c r="D479" s="946" t="s">
        <v>3644</v>
      </c>
    </row>
    <row r="480" spans="1:4" x14ac:dyDescent="0.25">
      <c r="A480" s="941"/>
      <c r="B480" s="644" t="s">
        <v>3462</v>
      </c>
      <c r="C480" s="645" t="s">
        <v>3500</v>
      </c>
      <c r="D480" s="947"/>
    </row>
    <row r="481" spans="1:4" ht="15.75" thickBot="1" x14ac:dyDescent="0.3">
      <c r="A481" s="942"/>
      <c r="B481" s="646" t="s">
        <v>3464</v>
      </c>
      <c r="C481" s="647" t="s">
        <v>56</v>
      </c>
      <c r="D481" s="948"/>
    </row>
    <row r="482" spans="1:4" x14ac:dyDescent="0.25">
      <c r="A482" s="940">
        <v>121</v>
      </c>
      <c r="B482" s="641" t="s">
        <v>3457</v>
      </c>
      <c r="C482" s="642" t="s">
        <v>3645</v>
      </c>
      <c r="D482" s="643" t="s">
        <v>3459</v>
      </c>
    </row>
    <row r="483" spans="1:4" x14ac:dyDescent="0.25">
      <c r="A483" s="941"/>
      <c r="B483" s="644" t="s">
        <v>3460</v>
      </c>
      <c r="C483" s="645" t="s">
        <v>3089</v>
      </c>
      <c r="D483" s="946" t="s">
        <v>3646</v>
      </c>
    </row>
    <row r="484" spans="1:4" x14ac:dyDescent="0.25">
      <c r="A484" s="941"/>
      <c r="B484" s="644" t="s">
        <v>3462</v>
      </c>
      <c r="C484" s="645" t="s">
        <v>3463</v>
      </c>
      <c r="D484" s="947"/>
    </row>
    <row r="485" spans="1:4" ht="15.75" thickBot="1" x14ac:dyDescent="0.3">
      <c r="A485" s="942"/>
      <c r="B485" s="646" t="s">
        <v>3464</v>
      </c>
      <c r="C485" s="647" t="s">
        <v>56</v>
      </c>
      <c r="D485" s="948"/>
    </row>
    <row r="486" spans="1:4" x14ac:dyDescent="0.25">
      <c r="A486" s="940">
        <v>122</v>
      </c>
      <c r="B486" s="641" t="s">
        <v>3457</v>
      </c>
      <c r="C486" s="642" t="s">
        <v>3647</v>
      </c>
      <c r="D486" s="643" t="s">
        <v>3459</v>
      </c>
    </row>
    <row r="487" spans="1:4" ht="67.5" x14ac:dyDescent="0.25">
      <c r="A487" s="941"/>
      <c r="B487" s="644" t="s">
        <v>3460</v>
      </c>
      <c r="C487" s="645" t="s">
        <v>3176</v>
      </c>
      <c r="D487" s="946" t="s">
        <v>747</v>
      </c>
    </row>
    <row r="488" spans="1:4" x14ac:dyDescent="0.25">
      <c r="A488" s="941"/>
      <c r="B488" s="644" t="s">
        <v>3462</v>
      </c>
      <c r="C488" s="645" t="s">
        <v>3463</v>
      </c>
      <c r="D488" s="947"/>
    </row>
    <row r="489" spans="1:4" ht="15.75" thickBot="1" x14ac:dyDescent="0.3">
      <c r="A489" s="942"/>
      <c r="B489" s="646" t="s">
        <v>3464</v>
      </c>
      <c r="C489" s="647" t="s">
        <v>56</v>
      </c>
      <c r="D489" s="948"/>
    </row>
    <row r="490" spans="1:4" x14ac:dyDescent="0.25">
      <c r="A490" s="940">
        <v>123</v>
      </c>
      <c r="B490" s="641" t="s">
        <v>3457</v>
      </c>
      <c r="C490" s="642" t="s">
        <v>3648</v>
      </c>
      <c r="D490" s="643" t="s">
        <v>3459</v>
      </c>
    </row>
    <row r="491" spans="1:4" ht="22.5" x14ac:dyDescent="0.25">
      <c r="A491" s="941"/>
      <c r="B491" s="644" t="s">
        <v>3460</v>
      </c>
      <c r="C491" s="645" t="s">
        <v>899</v>
      </c>
      <c r="D491" s="946" t="s">
        <v>1534</v>
      </c>
    </row>
    <row r="492" spans="1:4" x14ac:dyDescent="0.25">
      <c r="A492" s="941"/>
      <c r="B492" s="644" t="s">
        <v>3462</v>
      </c>
      <c r="C492" s="645" t="s">
        <v>3516</v>
      </c>
      <c r="D492" s="947"/>
    </row>
    <row r="493" spans="1:4" ht="15.75" thickBot="1" x14ac:dyDescent="0.3">
      <c r="A493" s="942"/>
      <c r="B493" s="646" t="s">
        <v>3464</v>
      </c>
      <c r="C493" s="647" t="s">
        <v>56</v>
      </c>
      <c r="D493" s="948"/>
    </row>
    <row r="494" spans="1:4" x14ac:dyDescent="0.25">
      <c r="A494" s="940">
        <v>124</v>
      </c>
      <c r="B494" s="641" t="s">
        <v>3457</v>
      </c>
      <c r="C494" s="642" t="s">
        <v>3649</v>
      </c>
      <c r="D494" s="643" t="s">
        <v>3459</v>
      </c>
    </row>
    <row r="495" spans="1:4" ht="22.5" x14ac:dyDescent="0.25">
      <c r="A495" s="941"/>
      <c r="B495" s="644" t="s">
        <v>3460</v>
      </c>
      <c r="C495" s="645" t="s">
        <v>917</v>
      </c>
      <c r="D495" s="946" t="s">
        <v>1533</v>
      </c>
    </row>
    <row r="496" spans="1:4" x14ac:dyDescent="0.25">
      <c r="A496" s="941"/>
      <c r="B496" s="644" t="s">
        <v>3462</v>
      </c>
      <c r="C496" s="645" t="s">
        <v>3516</v>
      </c>
      <c r="D496" s="947"/>
    </row>
    <row r="497" spans="1:4" ht="15.75" thickBot="1" x14ac:dyDescent="0.3">
      <c r="A497" s="942"/>
      <c r="B497" s="646" t="s">
        <v>3464</v>
      </c>
      <c r="C497" s="647" t="s">
        <v>56</v>
      </c>
      <c r="D497" s="948"/>
    </row>
    <row r="498" spans="1:4" x14ac:dyDescent="0.25">
      <c r="A498" s="940">
        <v>125</v>
      </c>
      <c r="B498" s="641" t="s">
        <v>3457</v>
      </c>
      <c r="C498" s="642" t="s">
        <v>3650</v>
      </c>
      <c r="D498" s="643" t="s">
        <v>3459</v>
      </c>
    </row>
    <row r="499" spans="1:4" x14ac:dyDescent="0.25">
      <c r="A499" s="941"/>
      <c r="B499" s="644" t="s">
        <v>3460</v>
      </c>
      <c r="C499" s="645" t="s">
        <v>977</v>
      </c>
      <c r="D499" s="946" t="s">
        <v>747</v>
      </c>
    </row>
    <row r="500" spans="1:4" x14ac:dyDescent="0.25">
      <c r="A500" s="941"/>
      <c r="B500" s="644" t="s">
        <v>3462</v>
      </c>
      <c r="C500" s="645" t="s">
        <v>3516</v>
      </c>
      <c r="D500" s="947"/>
    </row>
    <row r="501" spans="1:4" ht="15.75" thickBot="1" x14ac:dyDescent="0.3">
      <c r="A501" s="942"/>
      <c r="B501" s="646" t="s">
        <v>3464</v>
      </c>
      <c r="C501" s="647" t="s">
        <v>56</v>
      </c>
      <c r="D501" s="948"/>
    </row>
    <row r="502" spans="1:4" x14ac:dyDescent="0.25">
      <c r="A502" s="940">
        <v>126</v>
      </c>
      <c r="B502" s="641" t="s">
        <v>3457</v>
      </c>
      <c r="C502" s="642" t="s">
        <v>3651</v>
      </c>
      <c r="D502" s="643" t="s">
        <v>3459</v>
      </c>
    </row>
    <row r="503" spans="1:4" x14ac:dyDescent="0.25">
      <c r="A503" s="941"/>
      <c r="B503" s="644" t="s">
        <v>3460</v>
      </c>
      <c r="C503" s="645" t="s">
        <v>3652</v>
      </c>
      <c r="D503" s="946" t="s">
        <v>3653</v>
      </c>
    </row>
    <row r="504" spans="1:4" x14ac:dyDescent="0.25">
      <c r="A504" s="941"/>
      <c r="B504" s="644" t="s">
        <v>3462</v>
      </c>
      <c r="C504" s="645" t="s">
        <v>3516</v>
      </c>
      <c r="D504" s="947"/>
    </row>
    <row r="505" spans="1:4" ht="15.75" thickBot="1" x14ac:dyDescent="0.3">
      <c r="A505" s="942"/>
      <c r="B505" s="646" t="s">
        <v>3464</v>
      </c>
      <c r="C505" s="647" t="s">
        <v>99</v>
      </c>
      <c r="D505" s="948"/>
    </row>
    <row r="506" spans="1:4" x14ac:dyDescent="0.25">
      <c r="A506" s="940">
        <v>127</v>
      </c>
      <c r="B506" s="641" t="s">
        <v>3457</v>
      </c>
      <c r="C506" s="642" t="s">
        <v>3654</v>
      </c>
      <c r="D506" s="643" t="s">
        <v>3459</v>
      </c>
    </row>
    <row r="507" spans="1:4" x14ac:dyDescent="0.25">
      <c r="A507" s="941"/>
      <c r="B507" s="644" t="s">
        <v>3460</v>
      </c>
      <c r="C507" s="645" t="s">
        <v>3212</v>
      </c>
      <c r="D507" s="946" t="s">
        <v>3655</v>
      </c>
    </row>
    <row r="508" spans="1:4" x14ac:dyDescent="0.25">
      <c r="A508" s="941"/>
      <c r="B508" s="644" t="s">
        <v>3462</v>
      </c>
      <c r="C508" s="645" t="s">
        <v>3516</v>
      </c>
      <c r="D508" s="947"/>
    </row>
    <row r="509" spans="1:4" ht="15.75" thickBot="1" x14ac:dyDescent="0.3">
      <c r="A509" s="942"/>
      <c r="B509" s="646" t="s">
        <v>3464</v>
      </c>
      <c r="C509" s="647" t="s">
        <v>56</v>
      </c>
      <c r="D509" s="948"/>
    </row>
    <row r="510" spans="1:4" x14ac:dyDescent="0.25">
      <c r="A510" s="940">
        <v>128</v>
      </c>
      <c r="B510" s="641" t="s">
        <v>3457</v>
      </c>
      <c r="C510" s="642" t="s">
        <v>3656</v>
      </c>
      <c r="D510" s="643" t="s">
        <v>3459</v>
      </c>
    </row>
    <row r="511" spans="1:4" ht="30" x14ac:dyDescent="0.25">
      <c r="A511" s="941"/>
      <c r="B511" s="644" t="s">
        <v>3460</v>
      </c>
      <c r="C511" s="645" t="s">
        <v>3214</v>
      </c>
      <c r="D511" s="648" t="s">
        <v>3657</v>
      </c>
    </row>
    <row r="512" spans="1:4" x14ac:dyDescent="0.25">
      <c r="A512" s="941"/>
      <c r="B512" s="644" t="s">
        <v>3462</v>
      </c>
      <c r="C512" s="645" t="s">
        <v>3516</v>
      </c>
      <c r="D512" s="648"/>
    </row>
    <row r="513" spans="1:4" ht="15.75" thickBot="1" x14ac:dyDescent="0.3">
      <c r="A513" s="942"/>
      <c r="B513" s="646" t="s">
        <v>3464</v>
      </c>
      <c r="C513" s="647" t="s">
        <v>56</v>
      </c>
      <c r="D513" s="649"/>
    </row>
    <row r="514" spans="1:4" x14ac:dyDescent="0.25">
      <c r="A514" s="940">
        <v>129</v>
      </c>
      <c r="B514" s="641" t="s">
        <v>3457</v>
      </c>
      <c r="C514" s="642" t="s">
        <v>3658</v>
      </c>
      <c r="D514" s="643" t="s">
        <v>3459</v>
      </c>
    </row>
    <row r="515" spans="1:4" x14ac:dyDescent="0.25">
      <c r="A515" s="941"/>
      <c r="B515" s="644" t="s">
        <v>3460</v>
      </c>
      <c r="C515" s="645" t="s">
        <v>3295</v>
      </c>
      <c r="D515" s="946" t="s">
        <v>1643</v>
      </c>
    </row>
    <row r="516" spans="1:4" x14ac:dyDescent="0.25">
      <c r="A516" s="941"/>
      <c r="B516" s="644" t="s">
        <v>3462</v>
      </c>
      <c r="C516" s="645" t="s">
        <v>3516</v>
      </c>
      <c r="D516" s="947"/>
    </row>
    <row r="517" spans="1:4" ht="15.75" thickBot="1" x14ac:dyDescent="0.3">
      <c r="A517" s="942"/>
      <c r="B517" s="646" t="s">
        <v>3464</v>
      </c>
      <c r="C517" s="647" t="s">
        <v>56</v>
      </c>
      <c r="D517" s="948"/>
    </row>
    <row r="518" spans="1:4" x14ac:dyDescent="0.25">
      <c r="A518" s="940">
        <v>130</v>
      </c>
      <c r="B518" s="641" t="s">
        <v>3457</v>
      </c>
      <c r="C518" s="642" t="s">
        <v>3659</v>
      </c>
      <c r="D518" s="643" t="s">
        <v>3459</v>
      </c>
    </row>
    <row r="519" spans="1:4" x14ac:dyDescent="0.25">
      <c r="A519" s="941"/>
      <c r="B519" s="644" t="s">
        <v>3460</v>
      </c>
      <c r="C519" s="645" t="s">
        <v>3453</v>
      </c>
      <c r="D519" s="946" t="s">
        <v>3660</v>
      </c>
    </row>
    <row r="520" spans="1:4" x14ac:dyDescent="0.25">
      <c r="A520" s="941"/>
      <c r="B520" s="644" t="s">
        <v>3462</v>
      </c>
      <c r="C520" s="645" t="s">
        <v>3516</v>
      </c>
      <c r="D520" s="947"/>
    </row>
    <row r="521" spans="1:4" ht="15.75" thickBot="1" x14ac:dyDescent="0.3">
      <c r="A521" s="942"/>
      <c r="B521" s="646" t="s">
        <v>3464</v>
      </c>
      <c r="C521" s="647" t="s">
        <v>99</v>
      </c>
      <c r="D521" s="948"/>
    </row>
    <row r="522" spans="1:4" x14ac:dyDescent="0.25">
      <c r="A522" s="940">
        <v>131</v>
      </c>
      <c r="B522" s="641" t="s">
        <v>3457</v>
      </c>
      <c r="C522" s="642" t="s">
        <v>3661</v>
      </c>
      <c r="D522" s="643" t="s">
        <v>3459</v>
      </c>
    </row>
    <row r="523" spans="1:4" x14ac:dyDescent="0.25">
      <c r="A523" s="941"/>
      <c r="B523" s="644" t="s">
        <v>3460</v>
      </c>
      <c r="C523" s="645" t="s">
        <v>3662</v>
      </c>
      <c r="D523" s="946" t="s">
        <v>3663</v>
      </c>
    </row>
    <row r="524" spans="1:4" x14ac:dyDescent="0.25">
      <c r="A524" s="941"/>
      <c r="B524" s="644" t="s">
        <v>3462</v>
      </c>
      <c r="C524" s="645" t="s">
        <v>3516</v>
      </c>
      <c r="D524" s="947"/>
    </row>
    <row r="525" spans="1:4" ht="15.75" thickBot="1" x14ac:dyDescent="0.3">
      <c r="A525" s="942"/>
      <c r="B525" s="646" t="s">
        <v>3464</v>
      </c>
      <c r="C525" s="647" t="s">
        <v>99</v>
      </c>
      <c r="D525" s="948"/>
    </row>
    <row r="526" spans="1:4" x14ac:dyDescent="0.25">
      <c r="A526" s="940">
        <v>132</v>
      </c>
      <c r="B526" s="641" t="s">
        <v>3457</v>
      </c>
      <c r="C526" s="642" t="s">
        <v>3664</v>
      </c>
      <c r="D526" s="643" t="s">
        <v>3459</v>
      </c>
    </row>
    <row r="527" spans="1:4" x14ac:dyDescent="0.25">
      <c r="A527" s="941"/>
      <c r="B527" s="644" t="s">
        <v>3460</v>
      </c>
      <c r="C527" s="645" t="s">
        <v>3665</v>
      </c>
      <c r="D527" s="946" t="s">
        <v>3666</v>
      </c>
    </row>
    <row r="528" spans="1:4" x14ac:dyDescent="0.25">
      <c r="A528" s="941"/>
      <c r="B528" s="644" t="s">
        <v>3462</v>
      </c>
      <c r="C528" s="645" t="s">
        <v>3516</v>
      </c>
      <c r="D528" s="947"/>
    </row>
    <row r="529" spans="1:4" ht="15.75" thickBot="1" x14ac:dyDescent="0.3">
      <c r="A529" s="942"/>
      <c r="B529" s="646" t="s">
        <v>3464</v>
      </c>
      <c r="C529" s="647" t="s">
        <v>99</v>
      </c>
      <c r="D529" s="948"/>
    </row>
    <row r="530" spans="1:4" x14ac:dyDescent="0.25">
      <c r="A530" s="940">
        <v>133</v>
      </c>
      <c r="B530" s="641" t="s">
        <v>3457</v>
      </c>
      <c r="C530" s="642" t="s">
        <v>3667</v>
      </c>
      <c r="D530" s="643" t="s">
        <v>3459</v>
      </c>
    </row>
    <row r="531" spans="1:4" x14ac:dyDescent="0.25">
      <c r="A531" s="941"/>
      <c r="B531" s="644" t="s">
        <v>3460</v>
      </c>
      <c r="C531" s="645" t="s">
        <v>3668</v>
      </c>
      <c r="D531" s="946" t="s">
        <v>3669</v>
      </c>
    </row>
    <row r="532" spans="1:4" x14ac:dyDescent="0.25">
      <c r="A532" s="941"/>
      <c r="B532" s="644" t="s">
        <v>3462</v>
      </c>
      <c r="C532" s="645" t="s">
        <v>3516</v>
      </c>
      <c r="D532" s="947"/>
    </row>
    <row r="533" spans="1:4" ht="15.75" thickBot="1" x14ac:dyDescent="0.3">
      <c r="A533" s="942"/>
      <c r="B533" s="646" t="s">
        <v>3464</v>
      </c>
      <c r="C533" s="647" t="s">
        <v>99</v>
      </c>
      <c r="D533" s="948"/>
    </row>
    <row r="534" spans="1:4" x14ac:dyDescent="0.25">
      <c r="A534" s="940">
        <v>134</v>
      </c>
      <c r="B534" s="641" t="s">
        <v>3457</v>
      </c>
      <c r="C534" s="642" t="s">
        <v>3670</v>
      </c>
      <c r="D534" s="643" t="s">
        <v>3459</v>
      </c>
    </row>
    <row r="535" spans="1:4" x14ac:dyDescent="0.25">
      <c r="A535" s="941"/>
      <c r="B535" s="644" t="s">
        <v>3460</v>
      </c>
      <c r="C535" s="645" t="s">
        <v>3671</v>
      </c>
      <c r="D535" s="946" t="s">
        <v>3672</v>
      </c>
    </row>
    <row r="536" spans="1:4" x14ac:dyDescent="0.25">
      <c r="A536" s="941"/>
      <c r="B536" s="644" t="s">
        <v>3462</v>
      </c>
      <c r="C536" s="645" t="s">
        <v>3516</v>
      </c>
      <c r="D536" s="947"/>
    </row>
    <row r="537" spans="1:4" ht="15.75" thickBot="1" x14ac:dyDescent="0.3">
      <c r="A537" s="942"/>
      <c r="B537" s="646" t="s">
        <v>3464</v>
      </c>
      <c r="C537" s="647" t="s">
        <v>99</v>
      </c>
      <c r="D537" s="948"/>
    </row>
    <row r="538" spans="1:4" x14ac:dyDescent="0.25">
      <c r="A538" s="940">
        <v>135</v>
      </c>
      <c r="B538" s="641" t="s">
        <v>3457</v>
      </c>
      <c r="C538" s="642" t="s">
        <v>3673</v>
      </c>
      <c r="D538" s="643" t="s">
        <v>3459</v>
      </c>
    </row>
    <row r="539" spans="1:4" x14ac:dyDescent="0.25">
      <c r="A539" s="941"/>
      <c r="B539" s="644" t="s">
        <v>3460</v>
      </c>
      <c r="C539" s="645" t="s">
        <v>3289</v>
      </c>
      <c r="D539" s="946" t="s">
        <v>3674</v>
      </c>
    </row>
    <row r="540" spans="1:4" x14ac:dyDescent="0.25">
      <c r="A540" s="941"/>
      <c r="B540" s="644" t="s">
        <v>3462</v>
      </c>
      <c r="C540" s="645" t="s">
        <v>3516</v>
      </c>
      <c r="D540" s="947"/>
    </row>
    <row r="541" spans="1:4" ht="15.75" thickBot="1" x14ac:dyDescent="0.3">
      <c r="A541" s="942"/>
      <c r="B541" s="646" t="s">
        <v>3464</v>
      </c>
      <c r="C541" s="647" t="s">
        <v>99</v>
      </c>
      <c r="D541" s="948"/>
    </row>
    <row r="542" spans="1:4" x14ac:dyDescent="0.25">
      <c r="A542" s="940">
        <v>136</v>
      </c>
      <c r="B542" s="641" t="s">
        <v>3457</v>
      </c>
      <c r="C542" s="642" t="s">
        <v>3675</v>
      </c>
      <c r="D542" s="643" t="s">
        <v>3459</v>
      </c>
    </row>
    <row r="543" spans="1:4" x14ac:dyDescent="0.25">
      <c r="A543" s="941"/>
      <c r="B543" s="644" t="s">
        <v>3460</v>
      </c>
      <c r="C543" s="645" t="s">
        <v>3210</v>
      </c>
      <c r="D543" s="946" t="s">
        <v>3676</v>
      </c>
    </row>
    <row r="544" spans="1:4" x14ac:dyDescent="0.25">
      <c r="A544" s="941"/>
      <c r="B544" s="644" t="s">
        <v>3462</v>
      </c>
      <c r="C544" s="645" t="s">
        <v>3516</v>
      </c>
      <c r="D544" s="947"/>
    </row>
    <row r="545" spans="1:4" ht="15.75" thickBot="1" x14ac:dyDescent="0.3">
      <c r="A545" s="942"/>
      <c r="B545" s="646" t="s">
        <v>3464</v>
      </c>
      <c r="C545" s="647" t="s">
        <v>56</v>
      </c>
      <c r="D545" s="948"/>
    </row>
    <row r="546" spans="1:4" x14ac:dyDescent="0.25">
      <c r="A546" s="940">
        <v>137</v>
      </c>
      <c r="B546" s="641" t="s">
        <v>3457</v>
      </c>
      <c r="C546" s="642" t="s">
        <v>3677</v>
      </c>
      <c r="D546" s="643" t="s">
        <v>3459</v>
      </c>
    </row>
    <row r="547" spans="1:4" ht="22.5" x14ac:dyDescent="0.25">
      <c r="A547" s="941"/>
      <c r="B547" s="644" t="s">
        <v>3460</v>
      </c>
      <c r="C547" s="645" t="s">
        <v>1817</v>
      </c>
      <c r="D547" s="946" t="s">
        <v>2554</v>
      </c>
    </row>
    <row r="548" spans="1:4" x14ac:dyDescent="0.25">
      <c r="A548" s="941"/>
      <c r="B548" s="644" t="s">
        <v>3462</v>
      </c>
      <c r="C548" s="645" t="s">
        <v>3516</v>
      </c>
      <c r="D548" s="947"/>
    </row>
    <row r="549" spans="1:4" ht="15.75" thickBot="1" x14ac:dyDescent="0.3">
      <c r="A549" s="942"/>
      <c r="B549" s="646" t="s">
        <v>3464</v>
      </c>
      <c r="C549" s="647" t="s">
        <v>56</v>
      </c>
      <c r="D549" s="948"/>
    </row>
    <row r="550" spans="1:4" x14ac:dyDescent="0.25">
      <c r="A550" s="940">
        <v>138</v>
      </c>
      <c r="B550" s="641" t="s">
        <v>3457</v>
      </c>
      <c r="C550" s="642" t="s">
        <v>3678</v>
      </c>
      <c r="D550" s="643" t="s">
        <v>3459</v>
      </c>
    </row>
    <row r="551" spans="1:4" ht="22.5" x14ac:dyDescent="0.25">
      <c r="A551" s="941"/>
      <c r="B551" s="644" t="s">
        <v>3460</v>
      </c>
      <c r="C551" s="645" t="s">
        <v>1818</v>
      </c>
      <c r="D551" s="946" t="s">
        <v>2554</v>
      </c>
    </row>
    <row r="552" spans="1:4" x14ac:dyDescent="0.25">
      <c r="A552" s="941"/>
      <c r="B552" s="644" t="s">
        <v>3462</v>
      </c>
      <c r="C552" s="645" t="s">
        <v>3516</v>
      </c>
      <c r="D552" s="947"/>
    </row>
    <row r="553" spans="1:4" ht="15.75" thickBot="1" x14ac:dyDescent="0.3">
      <c r="A553" s="942"/>
      <c r="B553" s="646" t="s">
        <v>3464</v>
      </c>
      <c r="C553" s="647" t="s">
        <v>56</v>
      </c>
      <c r="D553" s="948"/>
    </row>
    <row r="554" spans="1:4" x14ac:dyDescent="0.25">
      <c r="A554" s="940">
        <v>139</v>
      </c>
      <c r="B554" s="641" t="s">
        <v>3457</v>
      </c>
      <c r="C554" s="642" t="s">
        <v>3679</v>
      </c>
      <c r="D554" s="643" t="s">
        <v>3459</v>
      </c>
    </row>
    <row r="555" spans="1:4" x14ac:dyDescent="0.25">
      <c r="A555" s="941"/>
      <c r="B555" s="644" t="s">
        <v>3460</v>
      </c>
      <c r="C555" s="645" t="s">
        <v>3293</v>
      </c>
      <c r="D555" s="946" t="s">
        <v>1643</v>
      </c>
    </row>
    <row r="556" spans="1:4" x14ac:dyDescent="0.25">
      <c r="A556" s="941"/>
      <c r="B556" s="644" t="s">
        <v>3462</v>
      </c>
      <c r="C556" s="645" t="s">
        <v>3516</v>
      </c>
      <c r="D556" s="947"/>
    </row>
    <row r="557" spans="1:4" ht="15.75" thickBot="1" x14ac:dyDescent="0.3">
      <c r="A557" s="942"/>
      <c r="B557" s="646" t="s">
        <v>3464</v>
      </c>
      <c r="C557" s="647" t="s">
        <v>56</v>
      </c>
      <c r="D557" s="948"/>
    </row>
    <row r="558" spans="1:4" x14ac:dyDescent="0.25">
      <c r="A558" s="940">
        <v>140</v>
      </c>
      <c r="B558" s="641" t="s">
        <v>3457</v>
      </c>
      <c r="C558" s="642" t="s">
        <v>3680</v>
      </c>
      <c r="D558" s="643" t="s">
        <v>3459</v>
      </c>
    </row>
    <row r="559" spans="1:4" x14ac:dyDescent="0.25">
      <c r="A559" s="941"/>
      <c r="B559" s="644" t="s">
        <v>3460</v>
      </c>
      <c r="C559" s="645" t="s">
        <v>914</v>
      </c>
      <c r="D559" s="946" t="s">
        <v>1557</v>
      </c>
    </row>
    <row r="560" spans="1:4" x14ac:dyDescent="0.25">
      <c r="A560" s="941"/>
      <c r="B560" s="644" t="s">
        <v>3462</v>
      </c>
      <c r="C560" s="645" t="s">
        <v>3516</v>
      </c>
      <c r="D560" s="947"/>
    </row>
    <row r="561" spans="1:4" ht="15.75" thickBot="1" x14ac:dyDescent="0.3">
      <c r="A561" s="942"/>
      <c r="B561" s="646" t="s">
        <v>3464</v>
      </c>
      <c r="C561" s="647" t="s">
        <v>56</v>
      </c>
      <c r="D561" s="948"/>
    </row>
    <row r="562" spans="1:4" x14ac:dyDescent="0.25">
      <c r="A562" s="940">
        <v>141</v>
      </c>
      <c r="B562" s="641" t="s">
        <v>3457</v>
      </c>
      <c r="C562" s="642" t="s">
        <v>3681</v>
      </c>
      <c r="D562" s="643" t="s">
        <v>3459</v>
      </c>
    </row>
    <row r="563" spans="1:4" ht="22.5" x14ac:dyDescent="0.25">
      <c r="A563" s="941"/>
      <c r="B563" s="644" t="s">
        <v>3460</v>
      </c>
      <c r="C563" s="645" t="s">
        <v>3093</v>
      </c>
      <c r="D563" s="946" t="s">
        <v>1184</v>
      </c>
    </row>
    <row r="564" spans="1:4" x14ac:dyDescent="0.25">
      <c r="A564" s="941"/>
      <c r="B564" s="644" t="s">
        <v>3462</v>
      </c>
      <c r="C564" s="645" t="s">
        <v>3502</v>
      </c>
      <c r="D564" s="947"/>
    </row>
    <row r="565" spans="1:4" ht="15.75" thickBot="1" x14ac:dyDescent="0.3">
      <c r="A565" s="942"/>
      <c r="B565" s="646" t="s">
        <v>3464</v>
      </c>
      <c r="C565" s="647" t="s">
        <v>56</v>
      </c>
      <c r="D565" s="948"/>
    </row>
    <row r="566" spans="1:4" x14ac:dyDescent="0.25">
      <c r="A566" s="940">
        <v>142</v>
      </c>
      <c r="B566" s="641" t="s">
        <v>3457</v>
      </c>
      <c r="C566" s="642" t="s">
        <v>3682</v>
      </c>
      <c r="D566" s="643" t="s">
        <v>3459</v>
      </c>
    </row>
    <row r="567" spans="1:4" x14ac:dyDescent="0.25">
      <c r="A567" s="941"/>
      <c r="B567" s="644" t="s">
        <v>3460</v>
      </c>
      <c r="C567" s="645" t="s">
        <v>3272</v>
      </c>
      <c r="D567" s="946" t="s">
        <v>3683</v>
      </c>
    </row>
    <row r="568" spans="1:4" x14ac:dyDescent="0.25">
      <c r="A568" s="941"/>
      <c r="B568" s="644" t="s">
        <v>3462</v>
      </c>
      <c r="C568" s="645" t="s">
        <v>3572</v>
      </c>
      <c r="D568" s="947"/>
    </row>
    <row r="569" spans="1:4" ht="15.75" thickBot="1" x14ac:dyDescent="0.3">
      <c r="A569" s="942"/>
      <c r="B569" s="646" t="s">
        <v>3464</v>
      </c>
      <c r="C569" s="647" t="s">
        <v>159</v>
      </c>
      <c r="D569" s="948"/>
    </row>
    <row r="570" spans="1:4" x14ac:dyDescent="0.25">
      <c r="A570" s="940">
        <v>143</v>
      </c>
      <c r="B570" s="641" t="s">
        <v>3457</v>
      </c>
      <c r="C570" s="642" t="s">
        <v>3684</v>
      </c>
      <c r="D570" s="643" t="s">
        <v>3459</v>
      </c>
    </row>
    <row r="571" spans="1:4" x14ac:dyDescent="0.25">
      <c r="A571" s="941"/>
      <c r="B571" s="644" t="s">
        <v>3460</v>
      </c>
      <c r="C571" s="645" t="s">
        <v>2642</v>
      </c>
      <c r="D571" s="946" t="s">
        <v>2643</v>
      </c>
    </row>
    <row r="572" spans="1:4" x14ac:dyDescent="0.25">
      <c r="A572" s="941"/>
      <c r="B572" s="644" t="s">
        <v>3462</v>
      </c>
      <c r="C572" s="645" t="s">
        <v>3562</v>
      </c>
      <c r="D572" s="947"/>
    </row>
    <row r="573" spans="1:4" ht="15.75" thickBot="1" x14ac:dyDescent="0.3">
      <c r="A573" s="942"/>
      <c r="B573" s="646" t="s">
        <v>3464</v>
      </c>
      <c r="C573" s="647" t="s">
        <v>56</v>
      </c>
      <c r="D573" s="948"/>
    </row>
    <row r="574" spans="1:4" x14ac:dyDescent="0.25">
      <c r="A574" s="940">
        <v>144</v>
      </c>
      <c r="B574" s="641" t="s">
        <v>3457</v>
      </c>
      <c r="C574" s="642" t="s">
        <v>3685</v>
      </c>
      <c r="D574" s="643" t="s">
        <v>3459</v>
      </c>
    </row>
    <row r="575" spans="1:4" ht="22.5" x14ac:dyDescent="0.25">
      <c r="A575" s="941"/>
      <c r="B575" s="644" t="s">
        <v>3460</v>
      </c>
      <c r="C575" s="645" t="s">
        <v>2651</v>
      </c>
      <c r="D575" s="946" t="s">
        <v>2652</v>
      </c>
    </row>
    <row r="576" spans="1:4" x14ac:dyDescent="0.25">
      <c r="A576" s="941"/>
      <c r="B576" s="644" t="s">
        <v>3462</v>
      </c>
      <c r="C576" s="645" t="s">
        <v>3562</v>
      </c>
      <c r="D576" s="947"/>
    </row>
    <row r="577" spans="1:4" ht="15.75" thickBot="1" x14ac:dyDescent="0.3">
      <c r="A577" s="942"/>
      <c r="B577" s="646" t="s">
        <v>3464</v>
      </c>
      <c r="C577" s="647" t="s">
        <v>56</v>
      </c>
      <c r="D577" s="948"/>
    </row>
    <row r="578" spans="1:4" x14ac:dyDescent="0.25">
      <c r="A578" s="940">
        <v>145</v>
      </c>
      <c r="B578" s="641" t="s">
        <v>3457</v>
      </c>
      <c r="C578" s="642" t="s">
        <v>3632</v>
      </c>
      <c r="D578" s="643" t="s">
        <v>3459</v>
      </c>
    </row>
    <row r="579" spans="1:4" ht="22.5" x14ac:dyDescent="0.25">
      <c r="A579" s="941"/>
      <c r="B579" s="644" t="s">
        <v>3460</v>
      </c>
      <c r="C579" s="645" t="s">
        <v>3444</v>
      </c>
      <c r="D579" s="946" t="s">
        <v>3633</v>
      </c>
    </row>
    <row r="580" spans="1:4" x14ac:dyDescent="0.25">
      <c r="A580" s="941"/>
      <c r="B580" s="644" t="s">
        <v>3462</v>
      </c>
      <c r="C580" s="645" t="s">
        <v>3562</v>
      </c>
      <c r="D580" s="947"/>
    </row>
    <row r="581" spans="1:4" ht="15.75" thickBot="1" x14ac:dyDescent="0.3">
      <c r="A581" s="942"/>
      <c r="B581" s="646" t="s">
        <v>3464</v>
      </c>
      <c r="C581" s="647" t="s">
        <v>56</v>
      </c>
      <c r="D581" s="948"/>
    </row>
    <row r="582" spans="1:4" x14ac:dyDescent="0.25">
      <c r="A582" s="940">
        <v>146</v>
      </c>
      <c r="B582" s="641" t="s">
        <v>3457</v>
      </c>
      <c r="C582" s="642" t="s">
        <v>3686</v>
      </c>
      <c r="D582" s="643" t="s">
        <v>3459</v>
      </c>
    </row>
    <row r="583" spans="1:4" ht="22.5" x14ac:dyDescent="0.25">
      <c r="A583" s="941"/>
      <c r="B583" s="644" t="s">
        <v>3460</v>
      </c>
      <c r="C583" s="645" t="s">
        <v>3687</v>
      </c>
      <c r="D583" s="946" t="s">
        <v>3688</v>
      </c>
    </row>
    <row r="584" spans="1:4" x14ac:dyDescent="0.25">
      <c r="A584" s="941"/>
      <c r="B584" s="644" t="s">
        <v>3462</v>
      </c>
      <c r="C584" s="645" t="s">
        <v>3599</v>
      </c>
      <c r="D584" s="947"/>
    </row>
    <row r="585" spans="1:4" ht="15.75" thickBot="1" x14ac:dyDescent="0.3">
      <c r="A585" s="942"/>
      <c r="B585" s="646" t="s">
        <v>3464</v>
      </c>
      <c r="C585" s="647" t="s">
        <v>56</v>
      </c>
      <c r="D585" s="948"/>
    </row>
    <row r="586" spans="1:4" x14ac:dyDescent="0.25">
      <c r="A586" s="940">
        <v>147</v>
      </c>
      <c r="B586" s="641" t="s">
        <v>3457</v>
      </c>
      <c r="C586" s="642" t="s">
        <v>3689</v>
      </c>
      <c r="D586" s="643" t="s">
        <v>3459</v>
      </c>
    </row>
    <row r="587" spans="1:4" ht="22.5" x14ac:dyDescent="0.25">
      <c r="A587" s="941"/>
      <c r="B587" s="644" t="s">
        <v>3460</v>
      </c>
      <c r="C587" s="645" t="s">
        <v>3309</v>
      </c>
      <c r="D587" s="946" t="s">
        <v>3690</v>
      </c>
    </row>
    <row r="588" spans="1:4" x14ac:dyDescent="0.25">
      <c r="A588" s="941"/>
      <c r="B588" s="644" t="s">
        <v>3462</v>
      </c>
      <c r="C588" s="645" t="s">
        <v>3599</v>
      </c>
      <c r="D588" s="947"/>
    </row>
    <row r="589" spans="1:4" ht="15.75" thickBot="1" x14ac:dyDescent="0.3">
      <c r="A589" s="942"/>
      <c r="B589" s="646" t="s">
        <v>3464</v>
      </c>
      <c r="C589" s="647" t="s">
        <v>56</v>
      </c>
      <c r="D589" s="948"/>
    </row>
    <row r="590" spans="1:4" x14ac:dyDescent="0.25">
      <c r="A590" s="940">
        <v>148</v>
      </c>
      <c r="B590" s="641" t="s">
        <v>3457</v>
      </c>
      <c r="C590" s="642" t="s">
        <v>3691</v>
      </c>
      <c r="D590" s="643" t="s">
        <v>3459</v>
      </c>
    </row>
    <row r="591" spans="1:4" ht="22.5" x14ac:dyDescent="0.25">
      <c r="A591" s="941"/>
      <c r="B591" s="644" t="s">
        <v>3460</v>
      </c>
      <c r="C591" s="645" t="s">
        <v>3254</v>
      </c>
      <c r="D591" s="946" t="s">
        <v>1524</v>
      </c>
    </row>
    <row r="592" spans="1:4" x14ac:dyDescent="0.25">
      <c r="A592" s="941"/>
      <c r="B592" s="644" t="s">
        <v>3462</v>
      </c>
      <c r="C592" s="645" t="s">
        <v>3599</v>
      </c>
      <c r="D592" s="947"/>
    </row>
    <row r="593" spans="1:4" ht="15.75" thickBot="1" x14ac:dyDescent="0.3">
      <c r="A593" s="942"/>
      <c r="B593" s="646" t="s">
        <v>3464</v>
      </c>
      <c r="C593" s="647" t="s">
        <v>56</v>
      </c>
      <c r="D593" s="948"/>
    </row>
    <row r="594" spans="1:4" x14ac:dyDescent="0.25">
      <c r="A594" s="940">
        <v>149</v>
      </c>
      <c r="B594" s="641" t="s">
        <v>3457</v>
      </c>
      <c r="C594" s="642" t="s">
        <v>3692</v>
      </c>
      <c r="D594" s="643" t="s">
        <v>3459</v>
      </c>
    </row>
    <row r="595" spans="1:4" ht="22.5" x14ac:dyDescent="0.25">
      <c r="A595" s="941"/>
      <c r="B595" s="644" t="s">
        <v>3460</v>
      </c>
      <c r="C595" s="645" t="s">
        <v>3693</v>
      </c>
      <c r="D595" s="943" t="s">
        <v>3694</v>
      </c>
    </row>
    <row r="596" spans="1:4" x14ac:dyDescent="0.25">
      <c r="A596" s="941"/>
      <c r="B596" s="644" t="s">
        <v>3462</v>
      </c>
      <c r="C596" s="645" t="s">
        <v>3599</v>
      </c>
      <c r="D596" s="944"/>
    </row>
    <row r="597" spans="1:4" ht="15.75" thickBot="1" x14ac:dyDescent="0.3">
      <c r="A597" s="942"/>
      <c r="B597" s="646" t="s">
        <v>3464</v>
      </c>
      <c r="C597" s="647" t="s">
        <v>56</v>
      </c>
      <c r="D597" s="945"/>
    </row>
    <row r="598" spans="1:4" x14ac:dyDescent="0.25">
      <c r="A598" s="940">
        <v>150</v>
      </c>
      <c r="B598" s="641" t="s">
        <v>3457</v>
      </c>
      <c r="C598" s="642" t="s">
        <v>3695</v>
      </c>
      <c r="D598" s="643" t="s">
        <v>3459</v>
      </c>
    </row>
    <row r="599" spans="1:4" ht="22.5" x14ac:dyDescent="0.25">
      <c r="A599" s="941"/>
      <c r="B599" s="644" t="s">
        <v>3460</v>
      </c>
      <c r="C599" s="645" t="s">
        <v>1644</v>
      </c>
      <c r="D599" s="946" t="s">
        <v>2560</v>
      </c>
    </row>
    <row r="600" spans="1:4" x14ac:dyDescent="0.25">
      <c r="A600" s="941"/>
      <c r="B600" s="644" t="s">
        <v>3462</v>
      </c>
      <c r="C600" s="645" t="s">
        <v>3516</v>
      </c>
      <c r="D600" s="947"/>
    </row>
    <row r="601" spans="1:4" ht="15.75" thickBot="1" x14ac:dyDescent="0.3">
      <c r="A601" s="942"/>
      <c r="B601" s="646" t="s">
        <v>3464</v>
      </c>
      <c r="C601" s="647" t="s">
        <v>99</v>
      </c>
      <c r="D601" s="948"/>
    </row>
  </sheetData>
  <mergeCells count="300">
    <mergeCell ref="A14:A17"/>
    <mergeCell ref="D15:D17"/>
    <mergeCell ref="A18:A21"/>
    <mergeCell ref="D19:D21"/>
    <mergeCell ref="A22:A25"/>
    <mergeCell ref="D23:D25"/>
    <mergeCell ref="A1:D1"/>
    <mergeCell ref="A2:A5"/>
    <mergeCell ref="D3:D5"/>
    <mergeCell ref="A6:A9"/>
    <mergeCell ref="D7:D9"/>
    <mergeCell ref="A10:A13"/>
    <mergeCell ref="D11:D13"/>
    <mergeCell ref="A38:A41"/>
    <mergeCell ref="D39:D41"/>
    <mergeCell ref="A42:A45"/>
    <mergeCell ref="D43:D45"/>
    <mergeCell ref="A46:A49"/>
    <mergeCell ref="D47:D49"/>
    <mergeCell ref="A26:A29"/>
    <mergeCell ref="D27:D29"/>
    <mergeCell ref="A30:A33"/>
    <mergeCell ref="D31:D33"/>
    <mergeCell ref="A34:A37"/>
    <mergeCell ref="D35:D37"/>
    <mergeCell ref="A62:A65"/>
    <mergeCell ref="D63:D65"/>
    <mergeCell ref="A66:A69"/>
    <mergeCell ref="D67:D69"/>
    <mergeCell ref="A70:A73"/>
    <mergeCell ref="D71:D73"/>
    <mergeCell ref="A50:A53"/>
    <mergeCell ref="D51:D53"/>
    <mergeCell ref="A54:A57"/>
    <mergeCell ref="D55:D57"/>
    <mergeCell ref="A58:A61"/>
    <mergeCell ref="D59:D61"/>
    <mergeCell ref="A86:A89"/>
    <mergeCell ref="D87:D89"/>
    <mergeCell ref="A90:A93"/>
    <mergeCell ref="D91:D93"/>
    <mergeCell ref="A94:A97"/>
    <mergeCell ref="D95:D97"/>
    <mergeCell ref="A74:A77"/>
    <mergeCell ref="D75:D77"/>
    <mergeCell ref="A78:A81"/>
    <mergeCell ref="D79:D81"/>
    <mergeCell ref="A82:A85"/>
    <mergeCell ref="D83:D85"/>
    <mergeCell ref="A110:A113"/>
    <mergeCell ref="D111:D113"/>
    <mergeCell ref="A114:A117"/>
    <mergeCell ref="D115:D117"/>
    <mergeCell ref="A118:A121"/>
    <mergeCell ref="D119:D121"/>
    <mergeCell ref="A98:A101"/>
    <mergeCell ref="D99:D101"/>
    <mergeCell ref="A102:A105"/>
    <mergeCell ref="D103:D105"/>
    <mergeCell ref="A106:A109"/>
    <mergeCell ref="D107:D109"/>
    <mergeCell ref="A134:A137"/>
    <mergeCell ref="D135:D137"/>
    <mergeCell ref="A138:A141"/>
    <mergeCell ref="D139:D141"/>
    <mergeCell ref="A142:A145"/>
    <mergeCell ref="D143:D145"/>
    <mergeCell ref="A122:A125"/>
    <mergeCell ref="D123:D125"/>
    <mergeCell ref="A126:A129"/>
    <mergeCell ref="D127:D129"/>
    <mergeCell ref="A130:A133"/>
    <mergeCell ref="D131:D133"/>
    <mergeCell ref="A158:A161"/>
    <mergeCell ref="D159:D161"/>
    <mergeCell ref="A162:A165"/>
    <mergeCell ref="D163:D165"/>
    <mergeCell ref="A166:A169"/>
    <mergeCell ref="D167:D169"/>
    <mergeCell ref="A146:A149"/>
    <mergeCell ref="D147:D149"/>
    <mergeCell ref="A150:A153"/>
    <mergeCell ref="D151:D153"/>
    <mergeCell ref="A154:A157"/>
    <mergeCell ref="D155:D157"/>
    <mergeCell ref="A182:A185"/>
    <mergeCell ref="D183:D185"/>
    <mergeCell ref="A186:A189"/>
    <mergeCell ref="D187:D189"/>
    <mergeCell ref="A190:A193"/>
    <mergeCell ref="D191:D193"/>
    <mergeCell ref="A170:A173"/>
    <mergeCell ref="D171:D173"/>
    <mergeCell ref="A174:A177"/>
    <mergeCell ref="D175:D177"/>
    <mergeCell ref="A178:A181"/>
    <mergeCell ref="D179:D181"/>
    <mergeCell ref="A206:A209"/>
    <mergeCell ref="D207:D209"/>
    <mergeCell ref="A210:A213"/>
    <mergeCell ref="D211:D213"/>
    <mergeCell ref="A214:A217"/>
    <mergeCell ref="D215:D217"/>
    <mergeCell ref="A194:A197"/>
    <mergeCell ref="D195:D197"/>
    <mergeCell ref="A198:A201"/>
    <mergeCell ref="D199:D201"/>
    <mergeCell ref="A202:A205"/>
    <mergeCell ref="D203:D205"/>
    <mergeCell ref="A230:A233"/>
    <mergeCell ref="D231:D233"/>
    <mergeCell ref="A234:A237"/>
    <mergeCell ref="D235:D237"/>
    <mergeCell ref="A238:A241"/>
    <mergeCell ref="D239:D241"/>
    <mergeCell ref="A218:A221"/>
    <mergeCell ref="D219:D221"/>
    <mergeCell ref="A222:A225"/>
    <mergeCell ref="D223:D225"/>
    <mergeCell ref="A226:A229"/>
    <mergeCell ref="D227:D229"/>
    <mergeCell ref="A254:A257"/>
    <mergeCell ref="D255:D257"/>
    <mergeCell ref="A258:A261"/>
    <mergeCell ref="D259:D261"/>
    <mergeCell ref="A262:A265"/>
    <mergeCell ref="D263:D265"/>
    <mergeCell ref="A242:A245"/>
    <mergeCell ref="D243:D245"/>
    <mergeCell ref="A246:A249"/>
    <mergeCell ref="D247:D249"/>
    <mergeCell ref="A250:A253"/>
    <mergeCell ref="D251:D253"/>
    <mergeCell ref="A278:A281"/>
    <mergeCell ref="D279:D281"/>
    <mergeCell ref="A282:A285"/>
    <mergeCell ref="D283:D285"/>
    <mergeCell ref="A286:A289"/>
    <mergeCell ref="D287:D289"/>
    <mergeCell ref="A266:A269"/>
    <mergeCell ref="D267:D269"/>
    <mergeCell ref="A270:A273"/>
    <mergeCell ref="D271:D273"/>
    <mergeCell ref="A274:A277"/>
    <mergeCell ref="D275:D277"/>
    <mergeCell ref="A302:A305"/>
    <mergeCell ref="D303:D305"/>
    <mergeCell ref="A306:A309"/>
    <mergeCell ref="D307:D309"/>
    <mergeCell ref="A310:A313"/>
    <mergeCell ref="D311:D313"/>
    <mergeCell ref="A290:A293"/>
    <mergeCell ref="D291:D293"/>
    <mergeCell ref="A294:A297"/>
    <mergeCell ref="D295:D297"/>
    <mergeCell ref="A298:A301"/>
    <mergeCell ref="D299:D301"/>
    <mergeCell ref="A326:A329"/>
    <mergeCell ref="D327:D329"/>
    <mergeCell ref="A330:A333"/>
    <mergeCell ref="D331:D333"/>
    <mergeCell ref="A334:A337"/>
    <mergeCell ref="D335:D337"/>
    <mergeCell ref="A314:A317"/>
    <mergeCell ref="D315:D317"/>
    <mergeCell ref="A318:A321"/>
    <mergeCell ref="D319:D321"/>
    <mergeCell ref="A322:A325"/>
    <mergeCell ref="D323:D325"/>
    <mergeCell ref="A350:A353"/>
    <mergeCell ref="D351:D353"/>
    <mergeCell ref="A354:A357"/>
    <mergeCell ref="D355:D357"/>
    <mergeCell ref="A358:A361"/>
    <mergeCell ref="D359:D361"/>
    <mergeCell ref="A338:A341"/>
    <mergeCell ref="D339:D341"/>
    <mergeCell ref="A342:A345"/>
    <mergeCell ref="D343:D345"/>
    <mergeCell ref="A346:A349"/>
    <mergeCell ref="D347:D349"/>
    <mergeCell ref="A374:A377"/>
    <mergeCell ref="D375:D377"/>
    <mergeCell ref="A378:A381"/>
    <mergeCell ref="D379:D381"/>
    <mergeCell ref="A382:A385"/>
    <mergeCell ref="D383:D385"/>
    <mergeCell ref="A362:A365"/>
    <mergeCell ref="D363:D365"/>
    <mergeCell ref="A366:A369"/>
    <mergeCell ref="D367:D369"/>
    <mergeCell ref="A370:A373"/>
    <mergeCell ref="D371:D373"/>
    <mergeCell ref="A398:A401"/>
    <mergeCell ref="D399:D401"/>
    <mergeCell ref="A402:A405"/>
    <mergeCell ref="D403:D405"/>
    <mergeCell ref="A406:A409"/>
    <mergeCell ref="D407:D409"/>
    <mergeCell ref="A386:A389"/>
    <mergeCell ref="D387:D389"/>
    <mergeCell ref="A390:A393"/>
    <mergeCell ref="D391:D393"/>
    <mergeCell ref="A394:A397"/>
    <mergeCell ref="D395:D397"/>
    <mergeCell ref="A422:A425"/>
    <mergeCell ref="D423:D425"/>
    <mergeCell ref="A426:A429"/>
    <mergeCell ref="D427:D429"/>
    <mergeCell ref="A430:A433"/>
    <mergeCell ref="D431:D433"/>
    <mergeCell ref="A410:A413"/>
    <mergeCell ref="D411:D413"/>
    <mergeCell ref="A414:A417"/>
    <mergeCell ref="D415:D417"/>
    <mergeCell ref="A418:A421"/>
    <mergeCell ref="D419:D421"/>
    <mergeCell ref="A446:A449"/>
    <mergeCell ref="D447:D449"/>
    <mergeCell ref="A450:A453"/>
    <mergeCell ref="D451:D453"/>
    <mergeCell ref="A454:A457"/>
    <mergeCell ref="D455:D457"/>
    <mergeCell ref="A434:A437"/>
    <mergeCell ref="D435:D437"/>
    <mergeCell ref="A438:A441"/>
    <mergeCell ref="D439:D441"/>
    <mergeCell ref="A442:A445"/>
    <mergeCell ref="D443:D445"/>
    <mergeCell ref="A470:A473"/>
    <mergeCell ref="D471:D473"/>
    <mergeCell ref="A474:A477"/>
    <mergeCell ref="D475:D477"/>
    <mergeCell ref="A478:A481"/>
    <mergeCell ref="D479:D481"/>
    <mergeCell ref="A458:A461"/>
    <mergeCell ref="D459:D461"/>
    <mergeCell ref="A462:A465"/>
    <mergeCell ref="D463:D465"/>
    <mergeCell ref="A466:A469"/>
    <mergeCell ref="D467:D469"/>
    <mergeCell ref="A494:A497"/>
    <mergeCell ref="D495:D497"/>
    <mergeCell ref="A498:A501"/>
    <mergeCell ref="D499:D501"/>
    <mergeCell ref="A502:A505"/>
    <mergeCell ref="D503:D505"/>
    <mergeCell ref="A482:A485"/>
    <mergeCell ref="D483:D485"/>
    <mergeCell ref="A486:A489"/>
    <mergeCell ref="D487:D489"/>
    <mergeCell ref="A490:A493"/>
    <mergeCell ref="D491:D493"/>
    <mergeCell ref="A522:A525"/>
    <mergeCell ref="D523:D525"/>
    <mergeCell ref="A526:A529"/>
    <mergeCell ref="D527:D529"/>
    <mergeCell ref="A530:A533"/>
    <mergeCell ref="D531:D533"/>
    <mergeCell ref="A506:A509"/>
    <mergeCell ref="D507:D509"/>
    <mergeCell ref="A510:A513"/>
    <mergeCell ref="A514:A517"/>
    <mergeCell ref="D515:D517"/>
    <mergeCell ref="A518:A521"/>
    <mergeCell ref="D519:D521"/>
    <mergeCell ref="A546:A549"/>
    <mergeCell ref="D547:D549"/>
    <mergeCell ref="A550:A553"/>
    <mergeCell ref="D551:D553"/>
    <mergeCell ref="A554:A557"/>
    <mergeCell ref="D555:D557"/>
    <mergeCell ref="A534:A537"/>
    <mergeCell ref="D535:D537"/>
    <mergeCell ref="A538:A541"/>
    <mergeCell ref="D539:D541"/>
    <mergeCell ref="A542:A545"/>
    <mergeCell ref="D543:D545"/>
    <mergeCell ref="A570:A573"/>
    <mergeCell ref="D571:D573"/>
    <mergeCell ref="A574:A577"/>
    <mergeCell ref="D575:D577"/>
    <mergeCell ref="A578:A581"/>
    <mergeCell ref="D579:D581"/>
    <mergeCell ref="A558:A561"/>
    <mergeCell ref="D559:D561"/>
    <mergeCell ref="A562:A565"/>
    <mergeCell ref="D563:D565"/>
    <mergeCell ref="A566:A569"/>
    <mergeCell ref="D567:D569"/>
    <mergeCell ref="A594:A597"/>
    <mergeCell ref="D595:D597"/>
    <mergeCell ref="A598:A601"/>
    <mergeCell ref="D599:D601"/>
    <mergeCell ref="A582:A585"/>
    <mergeCell ref="D583:D585"/>
    <mergeCell ref="A586:A589"/>
    <mergeCell ref="D587:D589"/>
    <mergeCell ref="A590:A593"/>
    <mergeCell ref="D591:D593"/>
  </mergeCells>
  <pageMargins left="0.51181102362204722" right="0.51181102362204722" top="0.98425196850393704" bottom="0.98425196850393704" header="0.31496062992125984" footer="0.31496062992125984"/>
  <pageSetup orientation="portrait" r:id="rId1"/>
  <headerFooter>
    <oddHeader>&amp;L&amp;G&amp;C&amp;8&amp;K01+049GOVERNO DO ESTADO DE MATO GROSSO
SECRETARIA DE ESTADO DE EDUCAÇÃO
SECRETARIA ADJUNTA DE ESTRUTURA ESCOLAR&amp;R&amp;G</oddHeader>
    <oddFooter>&amp;L&amp;8&amp;K01+049Secretaria de Estado de Educação, Esporte e Lazer de Mato Grosso
Rua Engenheiro Edgar Prado Arze, 215 - Centro Político Administrativo
CEP: 78049-909 | Cuiabá-MT
Fone: (65) 3613-6300</oddFooter>
  </headerFooter>
  <rowBreaks count="13" manualBreakCount="13">
    <brk id="41" max="16383" man="1"/>
    <brk id="77" max="16383" man="1"/>
    <brk id="113" max="16383" man="1"/>
    <brk id="149" max="16383" man="1"/>
    <brk id="189" max="16383" man="1"/>
    <brk id="229" max="16383" man="1"/>
    <brk id="261" max="16383" man="1"/>
    <brk id="297" max="16383" man="1"/>
    <brk id="333" max="16383" man="1"/>
    <brk id="373" max="16383" man="1"/>
    <brk id="485" max="16383" man="1"/>
    <brk id="521" max="16383" man="1"/>
    <brk id="56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8" tint="0.59999389629810485"/>
  </sheetPr>
  <dimension ref="A1:K848"/>
  <sheetViews>
    <sheetView showGridLines="0" tabSelected="1" zoomScaleNormal="100" zoomScalePageLayoutView="85" workbookViewId="0">
      <selection activeCell="B1" sqref="B1:H1"/>
    </sheetView>
  </sheetViews>
  <sheetFormatPr defaultRowHeight="15.75" outlineLevelRow="2" x14ac:dyDescent="0.25"/>
  <cols>
    <col min="1" max="1" width="10.7109375" style="63" customWidth="1"/>
    <col min="2" max="2" width="19.7109375" style="63" customWidth="1"/>
    <col min="3" max="3" width="61.42578125" style="57" customWidth="1"/>
    <col min="4" max="4" width="11" style="63" customWidth="1"/>
    <col min="5" max="5" width="12.140625" style="449" customWidth="1"/>
    <col min="6" max="6" width="13.28515625" style="212" customWidth="1"/>
    <col min="7" max="7" width="13.28515625" style="222" customWidth="1"/>
    <col min="8" max="8" width="18.42578125" style="222" customWidth="1"/>
    <col min="9" max="9" width="15.42578125" style="57" bestFit="1" customWidth="1"/>
    <col min="10" max="16384" width="9.140625" style="57"/>
  </cols>
  <sheetData>
    <row r="1" spans="1:9" ht="80.25" customHeight="1" x14ac:dyDescent="0.25">
      <c r="A1" s="85" t="s">
        <v>498</v>
      </c>
      <c r="B1" s="695" t="s">
        <v>3358</v>
      </c>
      <c r="C1" s="695"/>
      <c r="D1" s="695"/>
      <c r="E1" s="695"/>
      <c r="F1" s="695"/>
      <c r="G1" s="695"/>
      <c r="H1" s="695"/>
    </row>
    <row r="2" spans="1:9" ht="30" x14ac:dyDescent="0.25">
      <c r="A2" s="86" t="s">
        <v>499</v>
      </c>
      <c r="B2" s="87" t="s">
        <v>3361</v>
      </c>
      <c r="C2" s="88"/>
      <c r="D2" s="84" t="s">
        <v>34</v>
      </c>
      <c r="E2" s="442">
        <v>0.26729999999999998</v>
      </c>
      <c r="F2" s="197"/>
      <c r="G2" s="213" t="s">
        <v>46</v>
      </c>
      <c r="H2" s="214" t="s">
        <v>3341</v>
      </c>
    </row>
    <row r="3" spans="1:9" x14ac:dyDescent="0.25">
      <c r="A3" s="86" t="s">
        <v>500</v>
      </c>
      <c r="B3" s="87" t="s">
        <v>3359</v>
      </c>
      <c r="C3" s="88"/>
      <c r="D3" s="84" t="s">
        <v>2670</v>
      </c>
      <c r="E3" s="442">
        <v>0.16389999999999999</v>
      </c>
      <c r="F3" s="197"/>
      <c r="G3" s="213"/>
      <c r="H3" s="215"/>
    </row>
    <row r="4" spans="1:9" ht="16.5" thickBot="1" x14ac:dyDescent="0.3">
      <c r="A4" s="58"/>
      <c r="B4" s="59"/>
      <c r="C4" s="60"/>
      <c r="D4" s="61"/>
      <c r="E4" s="443"/>
      <c r="F4" s="198"/>
      <c r="G4" s="198"/>
      <c r="H4" s="198"/>
    </row>
    <row r="5" spans="1:9" ht="16.5" thickTop="1" x14ac:dyDescent="0.25">
      <c r="A5" s="696" t="s">
        <v>36</v>
      </c>
      <c r="B5" s="696"/>
      <c r="C5" s="696"/>
      <c r="D5" s="696"/>
      <c r="E5" s="696"/>
      <c r="F5" s="696"/>
      <c r="G5" s="696"/>
      <c r="H5" s="696"/>
    </row>
    <row r="6" spans="1:9" s="63" customFormat="1" x14ac:dyDescent="0.25">
      <c r="A6" s="82" t="s">
        <v>0</v>
      </c>
      <c r="B6" s="82" t="s">
        <v>4</v>
      </c>
      <c r="C6" s="82" t="s">
        <v>1</v>
      </c>
      <c r="D6" s="82" t="s">
        <v>5</v>
      </c>
      <c r="E6" s="444" t="s">
        <v>6</v>
      </c>
      <c r="F6" s="199" t="s">
        <v>49</v>
      </c>
      <c r="G6" s="199" t="s">
        <v>7</v>
      </c>
      <c r="H6" s="199" t="s">
        <v>8</v>
      </c>
    </row>
    <row r="7" spans="1:9" s="63" customFormat="1" x14ac:dyDescent="0.25">
      <c r="A7" s="698" t="s">
        <v>638</v>
      </c>
      <c r="B7" s="698"/>
      <c r="C7" s="698"/>
      <c r="D7" s="698"/>
      <c r="E7" s="698"/>
      <c r="F7" s="698"/>
      <c r="G7" s="698"/>
      <c r="H7" s="698"/>
    </row>
    <row r="8" spans="1:9" s="63" customFormat="1" outlineLevel="1" x14ac:dyDescent="0.25">
      <c r="A8" s="170" t="s">
        <v>15</v>
      </c>
      <c r="B8" s="170"/>
      <c r="C8" s="171" t="s">
        <v>67</v>
      </c>
      <c r="D8" s="170"/>
      <c r="E8" s="172"/>
      <c r="F8" s="200"/>
      <c r="G8" s="216"/>
      <c r="H8" s="216"/>
    </row>
    <row r="9" spans="1:9" s="63" customFormat="1" outlineLevel="2" x14ac:dyDescent="0.25">
      <c r="A9" s="64" t="s">
        <v>16</v>
      </c>
      <c r="B9" s="68" t="s">
        <v>2698</v>
      </c>
      <c r="C9" s="69" t="s">
        <v>2699</v>
      </c>
      <c r="D9" s="68" t="s">
        <v>1566</v>
      </c>
      <c r="E9" s="70">
        <v>10</v>
      </c>
      <c r="F9" s="201">
        <v>28166.27</v>
      </c>
      <c r="G9" s="217">
        <f t="shared" ref="G9" si="0">F9*(1+$E$2)</f>
        <v>35695.113971000006</v>
      </c>
      <c r="H9" s="217">
        <f>TRUNC((G9*E9),2)</f>
        <v>356951.13</v>
      </c>
    </row>
    <row r="10" spans="1:9" s="63" customFormat="1" outlineLevel="1" x14ac:dyDescent="0.25">
      <c r="A10" s="66"/>
      <c r="B10" s="66"/>
      <c r="C10" s="67" t="s">
        <v>14</v>
      </c>
      <c r="D10" s="66"/>
      <c r="E10" s="81"/>
      <c r="F10" s="202"/>
      <c r="G10" s="204"/>
      <c r="H10" s="204">
        <f>SUM(H9)</f>
        <v>356951.13</v>
      </c>
      <c r="I10" s="181"/>
    </row>
    <row r="11" spans="1:9" s="63" customFormat="1" outlineLevel="1" x14ac:dyDescent="0.25">
      <c r="A11" s="170" t="s">
        <v>17</v>
      </c>
      <c r="B11" s="170"/>
      <c r="C11" s="171" t="s">
        <v>9</v>
      </c>
      <c r="D11" s="170"/>
      <c r="E11" s="172"/>
      <c r="F11" s="200"/>
      <c r="G11" s="216"/>
      <c r="H11" s="216"/>
    </row>
    <row r="12" spans="1:9" s="63" customFormat="1" outlineLevel="2" x14ac:dyDescent="0.25">
      <c r="A12" s="64" t="s">
        <v>18</v>
      </c>
      <c r="B12" s="68" t="s">
        <v>943</v>
      </c>
      <c r="C12" s="69" t="s">
        <v>942</v>
      </c>
      <c r="D12" s="68" t="s">
        <v>106</v>
      </c>
      <c r="E12" s="70">
        <f>'ARQ - BLOCO DE SALAS'!F7</f>
        <v>13.22</v>
      </c>
      <c r="F12" s="201">
        <v>367.93</v>
      </c>
      <c r="G12" s="217">
        <f t="shared" ref="G12:G23" si="1">F12*(1+$E$2)</f>
        <v>466.27768900000007</v>
      </c>
      <c r="H12" s="217">
        <f t="shared" ref="H12:H24" si="2">TRUNC((G12*E12),2)</f>
        <v>6164.19</v>
      </c>
    </row>
    <row r="13" spans="1:9" s="63" customFormat="1" ht="31.5" outlineLevel="2" x14ac:dyDescent="0.25">
      <c r="A13" s="64" t="s">
        <v>19</v>
      </c>
      <c r="B13" s="68" t="s">
        <v>71</v>
      </c>
      <c r="C13" s="69" t="s">
        <v>944</v>
      </c>
      <c r="D13" s="68" t="s">
        <v>106</v>
      </c>
      <c r="E13" s="70">
        <f>'ARQ - BLOCO DE SALAS'!F8</f>
        <v>17701.93</v>
      </c>
      <c r="F13" s="201">
        <v>0.54</v>
      </c>
      <c r="G13" s="217">
        <f t="shared" si="1"/>
        <v>0.68434200000000012</v>
      </c>
      <c r="H13" s="217">
        <f t="shared" si="2"/>
        <v>12114.17</v>
      </c>
    </row>
    <row r="14" spans="1:9" s="63" customFormat="1" ht="47.25" outlineLevel="2" x14ac:dyDescent="0.25">
      <c r="A14" s="64" t="s">
        <v>76</v>
      </c>
      <c r="B14" s="68" t="s">
        <v>946</v>
      </c>
      <c r="C14" s="69" t="s">
        <v>945</v>
      </c>
      <c r="D14" s="68" t="s">
        <v>106</v>
      </c>
      <c r="E14" s="70">
        <f>'ARQ - BLOCO DE SALAS'!F9</f>
        <v>6026.67</v>
      </c>
      <c r="F14" s="201">
        <v>4.25</v>
      </c>
      <c r="G14" s="217">
        <f t="shared" si="1"/>
        <v>5.3860250000000001</v>
      </c>
      <c r="H14" s="217">
        <f t="shared" si="2"/>
        <v>32459.79</v>
      </c>
    </row>
    <row r="15" spans="1:9" s="63" customFormat="1" ht="31.5" outlineLevel="2" x14ac:dyDescent="0.25">
      <c r="A15" s="64" t="s">
        <v>77</v>
      </c>
      <c r="B15" s="68" t="s">
        <v>2959</v>
      </c>
      <c r="C15" s="69" t="s">
        <v>2958</v>
      </c>
      <c r="D15" s="68" t="s">
        <v>1566</v>
      </c>
      <c r="E15" s="70">
        <f>'ARQ - BLOCO DE SALAS'!F10</f>
        <v>10</v>
      </c>
      <c r="F15" s="201">
        <v>402.34</v>
      </c>
      <c r="G15" s="217">
        <f t="shared" si="1"/>
        <v>509.88548200000002</v>
      </c>
      <c r="H15" s="217">
        <f t="shared" si="2"/>
        <v>5098.8500000000004</v>
      </c>
    </row>
    <row r="16" spans="1:9" s="63" customFormat="1" ht="47.25" outlineLevel="2" x14ac:dyDescent="0.25">
      <c r="A16" s="64" t="s">
        <v>82</v>
      </c>
      <c r="B16" s="68" t="s">
        <v>2700</v>
      </c>
      <c r="C16" s="69" t="s">
        <v>947</v>
      </c>
      <c r="D16" s="68" t="s">
        <v>106</v>
      </c>
      <c r="E16" s="70">
        <f>'ARQ - BLOCO DE SALAS'!F11</f>
        <v>21.8</v>
      </c>
      <c r="F16" s="201">
        <v>425.03</v>
      </c>
      <c r="G16" s="217">
        <f t="shared" si="1"/>
        <v>538.64051900000004</v>
      </c>
      <c r="H16" s="217">
        <f t="shared" si="2"/>
        <v>11742.36</v>
      </c>
    </row>
    <row r="17" spans="1:8" s="63" customFormat="1" ht="47.25" outlineLevel="2" x14ac:dyDescent="0.25">
      <c r="A17" s="64" t="s">
        <v>90</v>
      </c>
      <c r="B17" s="68" t="s">
        <v>2701</v>
      </c>
      <c r="C17" s="69" t="s">
        <v>948</v>
      </c>
      <c r="D17" s="68" t="s">
        <v>106</v>
      </c>
      <c r="E17" s="70">
        <f>'ARQ - BLOCO DE SALAS'!F12</f>
        <v>14.5</v>
      </c>
      <c r="F17" s="201">
        <v>311.89</v>
      </c>
      <c r="G17" s="217">
        <f t="shared" si="1"/>
        <v>395.258197</v>
      </c>
      <c r="H17" s="217">
        <f t="shared" si="2"/>
        <v>5731.24</v>
      </c>
    </row>
    <row r="18" spans="1:8" s="63" customFormat="1" ht="31.5" outlineLevel="2" x14ac:dyDescent="0.25">
      <c r="A18" s="64" t="s">
        <v>91</v>
      </c>
      <c r="B18" s="226" t="s">
        <v>1564</v>
      </c>
      <c r="C18" s="246" t="s">
        <v>1565</v>
      </c>
      <c r="D18" s="226" t="s">
        <v>1566</v>
      </c>
      <c r="E18" s="70">
        <f>'ARQ - BLOCO DE SALAS'!F13</f>
        <v>10</v>
      </c>
      <c r="F18" s="221">
        <v>643.75</v>
      </c>
      <c r="G18" s="221">
        <f t="shared" ref="G18" si="3">F18*(1+$E$2)</f>
        <v>815.82437500000003</v>
      </c>
      <c r="H18" s="217">
        <f t="shared" si="2"/>
        <v>8158.24</v>
      </c>
    </row>
    <row r="19" spans="1:8" s="63" customFormat="1" ht="31.5" outlineLevel="2" x14ac:dyDescent="0.25">
      <c r="A19" s="64" t="s">
        <v>288</v>
      </c>
      <c r="B19" s="68" t="s">
        <v>302</v>
      </c>
      <c r="C19" s="69" t="s">
        <v>949</v>
      </c>
      <c r="D19" s="68" t="s">
        <v>106</v>
      </c>
      <c r="E19" s="70">
        <f>'ARQ - BLOCO DE SALAS'!F14</f>
        <v>1103.21</v>
      </c>
      <c r="F19" s="201">
        <v>45.97</v>
      </c>
      <c r="G19" s="217">
        <f t="shared" si="1"/>
        <v>58.257781000000001</v>
      </c>
      <c r="H19" s="217">
        <f t="shared" si="2"/>
        <v>64270.559999999998</v>
      </c>
    </row>
    <row r="20" spans="1:8" s="63" customFormat="1" ht="31.5" outlineLevel="2" x14ac:dyDescent="0.25">
      <c r="A20" s="64" t="s">
        <v>248</v>
      </c>
      <c r="B20" s="68" t="s">
        <v>2702</v>
      </c>
      <c r="C20" s="69" t="s">
        <v>950</v>
      </c>
      <c r="D20" s="68" t="s">
        <v>273</v>
      </c>
      <c r="E20" s="70">
        <f>'ARQ - BLOCO DE SALAS'!F15</f>
        <v>24</v>
      </c>
      <c r="F20" s="201">
        <v>17.36</v>
      </c>
      <c r="G20" s="217">
        <f t="shared" si="1"/>
        <v>22.000328</v>
      </c>
      <c r="H20" s="217">
        <f t="shared" si="2"/>
        <v>528</v>
      </c>
    </row>
    <row r="21" spans="1:8" ht="39" customHeight="1" outlineLevel="2" x14ac:dyDescent="0.25">
      <c r="A21" s="64" t="s">
        <v>249</v>
      </c>
      <c r="B21" s="68" t="s">
        <v>2703</v>
      </c>
      <c r="C21" s="69" t="s">
        <v>509</v>
      </c>
      <c r="D21" s="68" t="s">
        <v>2696</v>
      </c>
      <c r="E21" s="70">
        <f>'ARQ - BLOCO DE SALAS'!E16</f>
        <v>240</v>
      </c>
      <c r="F21" s="201">
        <v>1.2</v>
      </c>
      <c r="G21" s="201">
        <f t="shared" si="1"/>
        <v>1.5207600000000001</v>
      </c>
      <c r="H21" s="217">
        <f t="shared" si="2"/>
        <v>364.98</v>
      </c>
    </row>
    <row r="22" spans="1:8" ht="39" customHeight="1" outlineLevel="2" x14ac:dyDescent="0.25">
      <c r="A22" s="64" t="s">
        <v>250</v>
      </c>
      <c r="B22" s="68" t="s">
        <v>2704</v>
      </c>
      <c r="C22" s="69" t="s">
        <v>2631</v>
      </c>
      <c r="D22" s="68" t="s">
        <v>2697</v>
      </c>
      <c r="E22" s="70">
        <f>40*8</f>
        <v>320</v>
      </c>
      <c r="F22" s="201">
        <v>21.94</v>
      </c>
      <c r="G22" s="201">
        <f t="shared" ref="G22" si="4">F22*(1+$E$2)</f>
        <v>27.804562000000004</v>
      </c>
      <c r="H22" s="217">
        <f t="shared" si="2"/>
        <v>8897.4500000000007</v>
      </c>
    </row>
    <row r="23" spans="1:8" s="63" customFormat="1" ht="31.5" outlineLevel="2" x14ac:dyDescent="0.25">
      <c r="A23" s="64" t="s">
        <v>2190</v>
      </c>
      <c r="B23" s="68" t="s">
        <v>2705</v>
      </c>
      <c r="C23" s="69" t="s">
        <v>951</v>
      </c>
      <c r="D23" s="68" t="s">
        <v>56</v>
      </c>
      <c r="E23" s="70">
        <f>'ARQ - BLOCO DE SALAS'!F18</f>
        <v>1</v>
      </c>
      <c r="F23" s="201">
        <v>1234.6099999999999</v>
      </c>
      <c r="G23" s="217">
        <f t="shared" si="1"/>
        <v>1564.621253</v>
      </c>
      <c r="H23" s="217">
        <f t="shared" si="2"/>
        <v>1564.62</v>
      </c>
    </row>
    <row r="24" spans="1:8" s="63" customFormat="1" outlineLevel="2" x14ac:dyDescent="0.25">
      <c r="A24" s="64" t="s">
        <v>2622</v>
      </c>
      <c r="B24" s="226" t="s">
        <v>1567</v>
      </c>
      <c r="C24" s="246" t="s">
        <v>1568</v>
      </c>
      <c r="D24" s="226" t="s">
        <v>56</v>
      </c>
      <c r="E24" s="70">
        <f>'ARQ - BLOCO DE SALAS'!F17</f>
        <v>1</v>
      </c>
      <c r="F24" s="221">
        <v>1409.35</v>
      </c>
      <c r="G24" s="221">
        <f t="shared" ref="G24" si="5">F24*(1+$E$2)</f>
        <v>1786.0692550000001</v>
      </c>
      <c r="H24" s="217">
        <f t="shared" si="2"/>
        <v>1786.06</v>
      </c>
    </row>
    <row r="25" spans="1:8" s="63" customFormat="1" outlineLevel="1" x14ac:dyDescent="0.25">
      <c r="A25" s="79"/>
      <c r="B25" s="79"/>
      <c r="C25" s="80" t="s">
        <v>14</v>
      </c>
      <c r="D25" s="79"/>
      <c r="E25" s="81"/>
      <c r="F25" s="203"/>
      <c r="G25" s="203"/>
      <c r="H25" s="218">
        <f>SUM(H12:H24)</f>
        <v>158880.51000000004</v>
      </c>
    </row>
    <row r="26" spans="1:8" s="63" customFormat="1" x14ac:dyDescent="0.25">
      <c r="A26" s="66"/>
      <c r="B26" s="66"/>
      <c r="C26" s="67" t="s">
        <v>637</v>
      </c>
      <c r="D26" s="66"/>
      <c r="E26" s="276"/>
      <c r="F26" s="204"/>
      <c r="G26" s="202"/>
      <c r="H26" s="204">
        <f>H25+H10</f>
        <v>515831.64</v>
      </c>
    </row>
    <row r="27" spans="1:8" s="63" customFormat="1" x14ac:dyDescent="0.25">
      <c r="A27" s="698" t="s">
        <v>590</v>
      </c>
      <c r="B27" s="698"/>
      <c r="C27" s="698"/>
      <c r="D27" s="698"/>
      <c r="E27" s="698"/>
      <c r="F27" s="698"/>
      <c r="G27" s="698"/>
      <c r="H27" s="698"/>
    </row>
    <row r="28" spans="1:8" outlineLevel="1" x14ac:dyDescent="0.25">
      <c r="A28" s="173" t="s">
        <v>20</v>
      </c>
      <c r="B28" s="173"/>
      <c r="C28" s="174" t="s">
        <v>512</v>
      </c>
      <c r="D28" s="173"/>
      <c r="E28" s="175"/>
      <c r="F28" s="205"/>
      <c r="G28" s="201"/>
      <c r="H28" s="206"/>
    </row>
    <row r="29" spans="1:8" outlineLevel="2" x14ac:dyDescent="0.25">
      <c r="A29" s="68" t="s">
        <v>21</v>
      </c>
      <c r="B29" s="68" t="s">
        <v>640</v>
      </c>
      <c r="C29" s="69" t="s">
        <v>639</v>
      </c>
      <c r="D29" s="68" t="s">
        <v>273</v>
      </c>
      <c r="E29" s="70">
        <f>'EST - BLOCOS 01_02'!K4</f>
        <v>951.05</v>
      </c>
      <c r="F29" s="201">
        <v>27.41</v>
      </c>
      <c r="G29" s="217">
        <f t="shared" ref="G29:G30" si="6">F29*(1+$E$2)</f>
        <v>34.736693000000002</v>
      </c>
      <c r="H29" s="217">
        <f t="shared" ref="H29:H30" si="7">TRUNC((G29*E29),2)</f>
        <v>33036.33</v>
      </c>
    </row>
    <row r="30" spans="1:8" ht="47.25" outlineLevel="2" x14ac:dyDescent="0.25">
      <c r="A30" s="68" t="s">
        <v>22</v>
      </c>
      <c r="B30" s="68" t="s">
        <v>155</v>
      </c>
      <c r="C30" s="69" t="s">
        <v>501</v>
      </c>
      <c r="D30" s="68" t="s">
        <v>273</v>
      </c>
      <c r="E30" s="70">
        <f>E29</f>
        <v>951.05</v>
      </c>
      <c r="F30" s="201">
        <v>4.7699999999999996</v>
      </c>
      <c r="G30" s="217">
        <f t="shared" si="6"/>
        <v>6.0450210000000002</v>
      </c>
      <c r="H30" s="217">
        <f t="shared" si="7"/>
        <v>5749.11</v>
      </c>
    </row>
    <row r="31" spans="1:8" outlineLevel="1" x14ac:dyDescent="0.25">
      <c r="A31" s="79"/>
      <c r="B31" s="79"/>
      <c r="C31" s="80" t="s">
        <v>14</v>
      </c>
      <c r="D31" s="79"/>
      <c r="E31" s="81"/>
      <c r="F31" s="203"/>
      <c r="G31" s="203"/>
      <c r="H31" s="218">
        <f>SUM(H29:H30)</f>
        <v>38785.440000000002</v>
      </c>
    </row>
    <row r="32" spans="1:8" outlineLevel="1" x14ac:dyDescent="0.25">
      <c r="A32" s="173" t="s">
        <v>23</v>
      </c>
      <c r="B32" s="173"/>
      <c r="C32" s="174" t="s">
        <v>156</v>
      </c>
      <c r="D32" s="173"/>
      <c r="E32" s="175"/>
      <c r="F32" s="205"/>
      <c r="G32" s="201"/>
      <c r="H32" s="206"/>
    </row>
    <row r="33" spans="1:9" ht="63" outlineLevel="2" x14ac:dyDescent="0.25">
      <c r="A33" s="68" t="s">
        <v>24</v>
      </c>
      <c r="B33" s="68" t="s">
        <v>2761</v>
      </c>
      <c r="C33" s="69" t="s">
        <v>633</v>
      </c>
      <c r="D33" s="68" t="s">
        <v>99</v>
      </c>
      <c r="E33" s="70">
        <f>'EST - BLOCOS 01_02'!K10</f>
        <v>2016</v>
      </c>
      <c r="F33" s="221">
        <v>67.56</v>
      </c>
      <c r="G33" s="201">
        <f t="shared" ref="G33" si="8">F33*(1+$E$2)</f>
        <v>85.618788000000009</v>
      </c>
      <c r="H33" s="201">
        <f t="shared" ref="H33:H50" si="9">TRUNC((G33*E33),2)</f>
        <v>172607.47</v>
      </c>
    </row>
    <row r="34" spans="1:9" ht="47.25" outlineLevel="2" x14ac:dyDescent="0.25">
      <c r="A34" s="68" t="s">
        <v>25</v>
      </c>
      <c r="B34" s="68" t="s">
        <v>2706</v>
      </c>
      <c r="C34" s="69" t="s">
        <v>502</v>
      </c>
      <c r="D34" s="68" t="s">
        <v>273</v>
      </c>
      <c r="E34" s="70">
        <f>'EST - BLOCOS 01_02'!K13</f>
        <v>156.24</v>
      </c>
      <c r="F34" s="201">
        <v>10.44</v>
      </c>
      <c r="G34" s="201">
        <f t="shared" ref="G34:G50" si="10">F34*(1+$E$2)</f>
        <v>13.230612000000001</v>
      </c>
      <c r="H34" s="201">
        <f t="shared" si="9"/>
        <v>2067.15</v>
      </c>
    </row>
    <row r="35" spans="1:9" outlineLevel="2" x14ac:dyDescent="0.25">
      <c r="A35" s="68" t="s">
        <v>26</v>
      </c>
      <c r="B35" s="68" t="s">
        <v>2707</v>
      </c>
      <c r="C35" s="69" t="s">
        <v>503</v>
      </c>
      <c r="D35" s="226" t="s">
        <v>273</v>
      </c>
      <c r="E35" s="70">
        <f>'EST - BLOCOS 01_02'!K14</f>
        <v>204.31285714285713</v>
      </c>
      <c r="F35" s="201">
        <v>54.9</v>
      </c>
      <c r="G35" s="201">
        <f t="shared" si="10"/>
        <v>69.574770000000001</v>
      </c>
      <c r="H35" s="201">
        <f t="shared" si="9"/>
        <v>14215.02</v>
      </c>
    </row>
    <row r="36" spans="1:9" ht="47.25" outlineLevel="2" x14ac:dyDescent="0.25">
      <c r="A36" s="68" t="s">
        <v>27</v>
      </c>
      <c r="B36" s="68" t="s">
        <v>2708</v>
      </c>
      <c r="C36" s="69" t="s">
        <v>504</v>
      </c>
      <c r="D36" s="68" t="s">
        <v>106</v>
      </c>
      <c r="E36" s="70">
        <f>'EST - BLOCOS 01_02'!K15+'EST - BLOCOS 01_02'!K16</f>
        <v>502.5214285714286</v>
      </c>
      <c r="F36" s="201">
        <v>4.18</v>
      </c>
      <c r="G36" s="201">
        <f t="shared" si="10"/>
        <v>5.2973140000000001</v>
      </c>
      <c r="H36" s="201">
        <f t="shared" si="9"/>
        <v>2662.01</v>
      </c>
    </row>
    <row r="37" spans="1:9" ht="31.5" outlineLevel="2" x14ac:dyDescent="0.25">
      <c r="A37" s="68" t="s">
        <v>28</v>
      </c>
      <c r="B37" s="68" t="s">
        <v>2709</v>
      </c>
      <c r="C37" s="69" t="s">
        <v>505</v>
      </c>
      <c r="D37" s="226" t="s">
        <v>106</v>
      </c>
      <c r="E37" s="70">
        <f>'EST - BLOCOS 01_02'!K17+'EST - BLOCOS 01_02'!K18</f>
        <v>502.5214285714286</v>
      </c>
      <c r="F37" s="201">
        <v>19.12</v>
      </c>
      <c r="G37" s="201">
        <f t="shared" si="10"/>
        <v>24.230776000000002</v>
      </c>
      <c r="H37" s="201">
        <f t="shared" si="9"/>
        <v>12176.48</v>
      </c>
    </row>
    <row r="38" spans="1:9" ht="31.5" outlineLevel="2" x14ac:dyDescent="0.25">
      <c r="A38" s="68" t="s">
        <v>50</v>
      </c>
      <c r="B38" s="68" t="s">
        <v>2710</v>
      </c>
      <c r="C38" s="69" t="s">
        <v>513</v>
      </c>
      <c r="D38" s="68" t="s">
        <v>106</v>
      </c>
      <c r="E38" s="70">
        <f>'EST - BLOCOS 01_02'!K32+'EST - BLOCOS 01_02'!K40+'EST - BLOCOS 01_02'!K48</f>
        <v>1111.3500000000001</v>
      </c>
      <c r="F38" s="201">
        <v>45.06</v>
      </c>
      <c r="G38" s="201">
        <f t="shared" si="10"/>
        <v>57.104538000000005</v>
      </c>
      <c r="H38" s="201">
        <f t="shared" si="9"/>
        <v>63463.12</v>
      </c>
    </row>
    <row r="39" spans="1:9" ht="47.25" outlineLevel="2" x14ac:dyDescent="0.25">
      <c r="A39" s="68" t="s">
        <v>51</v>
      </c>
      <c r="B39" s="68" t="s">
        <v>79</v>
      </c>
      <c r="C39" s="69" t="s">
        <v>515</v>
      </c>
      <c r="D39" s="68" t="s">
        <v>273</v>
      </c>
      <c r="E39" s="70">
        <f>'EST - BLOCOS 01_02'!K33+'EST - BLOCOS 01_02'!K41+'EST - BLOCOS 01_02'!K49</f>
        <v>98.396000000000015</v>
      </c>
      <c r="F39" s="201">
        <v>294.68</v>
      </c>
      <c r="G39" s="201">
        <f t="shared" si="10"/>
        <v>373.44796400000001</v>
      </c>
      <c r="H39" s="201">
        <f t="shared" si="9"/>
        <v>36745.78</v>
      </c>
    </row>
    <row r="40" spans="1:9" ht="31.5" outlineLevel="2" x14ac:dyDescent="0.25">
      <c r="A40" s="68" t="s">
        <v>52</v>
      </c>
      <c r="B40" s="68" t="s">
        <v>2711</v>
      </c>
      <c r="C40" s="69" t="s">
        <v>514</v>
      </c>
      <c r="D40" s="68" t="s">
        <v>273</v>
      </c>
      <c r="E40" s="70">
        <f>'EST - BLOCOS 01_02'!K34+'EST - BLOCOS 01_02'!K42+'EST - BLOCOS 01_02'!K50</f>
        <v>98.396000000000015</v>
      </c>
      <c r="F40" s="201">
        <v>23.69</v>
      </c>
      <c r="G40" s="201">
        <f t="shared" si="10"/>
        <v>30.022337000000004</v>
      </c>
      <c r="H40" s="201">
        <f t="shared" si="9"/>
        <v>2954.07</v>
      </c>
    </row>
    <row r="41" spans="1:9" ht="72.75" customHeight="1" outlineLevel="2" x14ac:dyDescent="0.25">
      <c r="A41" s="68" t="s">
        <v>53</v>
      </c>
      <c r="B41" s="68" t="s">
        <v>517</v>
      </c>
      <c r="C41" s="69" t="s">
        <v>516</v>
      </c>
      <c r="D41" s="68" t="s">
        <v>92</v>
      </c>
      <c r="E41" s="70">
        <f>'EST - BLOCOS 01_02'!K37+'EST - BLOCOS 01_02'!K46+'EST - BLOCOS 01_02'!K53</f>
        <v>2306</v>
      </c>
      <c r="F41" s="201">
        <v>7.55</v>
      </c>
      <c r="G41" s="201">
        <f t="shared" si="10"/>
        <v>9.5681150000000006</v>
      </c>
      <c r="H41" s="201">
        <f t="shared" si="9"/>
        <v>22064.07</v>
      </c>
    </row>
    <row r="42" spans="1:9" ht="63" outlineLevel="2" x14ac:dyDescent="0.25">
      <c r="A42" s="68" t="s">
        <v>54</v>
      </c>
      <c r="B42" s="68" t="s">
        <v>521</v>
      </c>
      <c r="C42" s="69" t="s">
        <v>520</v>
      </c>
      <c r="D42" s="68" t="s">
        <v>92</v>
      </c>
      <c r="E42" s="70">
        <f>'EST - BLOCOS 01_02'!K43+'EST - BLOCOS 01_02'!K51+'EST - BLOCOS 01_02'!K11</f>
        <v>2086.6</v>
      </c>
      <c r="F42" s="201">
        <v>10.97</v>
      </c>
      <c r="G42" s="201">
        <f t="shared" si="10"/>
        <v>13.902281000000002</v>
      </c>
      <c r="H42" s="201">
        <f t="shared" si="9"/>
        <v>29008.49</v>
      </c>
    </row>
    <row r="43" spans="1:9" ht="63" outlineLevel="2" x14ac:dyDescent="0.25">
      <c r="A43" s="68" t="s">
        <v>526</v>
      </c>
      <c r="B43" s="68" t="s">
        <v>523</v>
      </c>
      <c r="C43" s="69" t="s">
        <v>522</v>
      </c>
      <c r="D43" s="68" t="s">
        <v>92</v>
      </c>
      <c r="E43" s="70">
        <f>'EST - BLOCOS 01_02'!K44+'EST - BLOCOS 01_02'!K35</f>
        <v>1383</v>
      </c>
      <c r="F43" s="201">
        <v>9.9600000000000009</v>
      </c>
      <c r="G43" s="201">
        <f t="shared" si="10"/>
        <v>12.622308000000002</v>
      </c>
      <c r="H43" s="201">
        <f t="shared" si="9"/>
        <v>17456.650000000001</v>
      </c>
    </row>
    <row r="44" spans="1:9" ht="63" outlineLevel="2" x14ac:dyDescent="0.25">
      <c r="A44" s="68" t="s">
        <v>527</v>
      </c>
      <c r="B44" s="68" t="s">
        <v>525</v>
      </c>
      <c r="C44" s="69" t="s">
        <v>524</v>
      </c>
      <c r="D44" s="68" t="s">
        <v>92</v>
      </c>
      <c r="E44" s="70">
        <f>'EST - BLOCOS 01_02'!K45+'EST - BLOCOS 01_02'!K52+'EST - BLOCOS 01_02'!K12+'EST - BLOCOS 01_02'!K36</f>
        <v>3582.48</v>
      </c>
      <c r="F44" s="201">
        <v>9.41</v>
      </c>
      <c r="G44" s="201">
        <f t="shared" si="10"/>
        <v>11.925293000000002</v>
      </c>
      <c r="H44" s="201">
        <f t="shared" si="9"/>
        <v>42722.12</v>
      </c>
    </row>
    <row r="45" spans="1:9" ht="63" outlineLevel="2" x14ac:dyDescent="0.25">
      <c r="A45" s="68" t="s">
        <v>528</v>
      </c>
      <c r="B45" s="68" t="s">
        <v>519</v>
      </c>
      <c r="C45" s="69" t="s">
        <v>518</v>
      </c>
      <c r="D45" s="68" t="s">
        <v>92</v>
      </c>
      <c r="E45" s="70">
        <f>'EST - BLOCOS 01_02'!K38</f>
        <v>249</v>
      </c>
      <c r="F45" s="201">
        <v>6.28</v>
      </c>
      <c r="G45" s="201">
        <f t="shared" si="10"/>
        <v>7.9586440000000005</v>
      </c>
      <c r="H45" s="201">
        <f t="shared" si="9"/>
        <v>1981.7</v>
      </c>
    </row>
    <row r="46" spans="1:9" ht="71.25" customHeight="1" outlineLevel="2" x14ac:dyDescent="0.25">
      <c r="A46" s="68" t="s">
        <v>529</v>
      </c>
      <c r="B46" s="68" t="s">
        <v>2762</v>
      </c>
      <c r="C46" s="69" t="s">
        <v>2763</v>
      </c>
      <c r="D46" s="68" t="s">
        <v>92</v>
      </c>
      <c r="E46" s="70">
        <f>'EST - BLOCOS 01_02'!K82</f>
        <v>309.19</v>
      </c>
      <c r="F46" s="201">
        <v>4.84</v>
      </c>
      <c r="G46" s="201">
        <f t="shared" si="10"/>
        <v>6.1337320000000002</v>
      </c>
      <c r="H46" s="201">
        <f t="shared" si="9"/>
        <v>1896.48</v>
      </c>
    </row>
    <row r="47" spans="1:9" outlineLevel="2" x14ac:dyDescent="0.25">
      <c r="A47" s="68" t="s">
        <v>530</v>
      </c>
      <c r="B47" s="68" t="s">
        <v>259</v>
      </c>
      <c r="C47" s="69" t="s">
        <v>506</v>
      </c>
      <c r="D47" s="68" t="s">
        <v>273</v>
      </c>
      <c r="E47" s="70">
        <f>'EST - BLOCOS 01_02'!K19+'EST - BLOCOS 01_02'!K20</f>
        <v>262.25685714285714</v>
      </c>
      <c r="F47" s="201">
        <v>41.64</v>
      </c>
      <c r="G47" s="201">
        <f t="shared" si="10"/>
        <v>52.770372000000002</v>
      </c>
      <c r="H47" s="201">
        <f t="shared" si="9"/>
        <v>13839.39</v>
      </c>
    </row>
    <row r="48" spans="1:9" ht="63" outlineLevel="2" x14ac:dyDescent="0.25">
      <c r="A48" s="68" t="s">
        <v>531</v>
      </c>
      <c r="B48" s="68" t="s">
        <v>508</v>
      </c>
      <c r="C48" s="69" t="s">
        <v>507</v>
      </c>
      <c r="D48" s="68" t="s">
        <v>273</v>
      </c>
      <c r="E48" s="70">
        <f>'EST - BLOCOS 01_02'!K21+'EST - BLOCOS 01_02'!K22</f>
        <v>133.00880000000001</v>
      </c>
      <c r="F48" s="201">
        <v>1.44</v>
      </c>
      <c r="G48" s="201">
        <f t="shared" si="10"/>
        <v>1.8249120000000001</v>
      </c>
      <c r="H48" s="201">
        <f t="shared" si="9"/>
        <v>242.72</v>
      </c>
      <c r="I48" s="123"/>
    </row>
    <row r="49" spans="1:8" ht="39" customHeight="1" outlineLevel="2" x14ac:dyDescent="0.25">
      <c r="A49" s="68" t="s">
        <v>2982</v>
      </c>
      <c r="B49" s="68" t="s">
        <v>2703</v>
      </c>
      <c r="C49" s="69" t="s">
        <v>509</v>
      </c>
      <c r="D49" s="68" t="s">
        <v>2696</v>
      </c>
      <c r="E49" s="70">
        <f>E48*10</f>
        <v>1330.0880000000002</v>
      </c>
      <c r="F49" s="201">
        <v>1.2</v>
      </c>
      <c r="G49" s="201">
        <f t="shared" si="10"/>
        <v>1.5207600000000001</v>
      </c>
      <c r="H49" s="201">
        <f t="shared" si="9"/>
        <v>2022.74</v>
      </c>
    </row>
    <row r="50" spans="1:8" ht="31.5" outlineLevel="2" x14ac:dyDescent="0.25">
      <c r="A50" s="68" t="s">
        <v>2983</v>
      </c>
      <c r="B50" s="68" t="s">
        <v>152</v>
      </c>
      <c r="C50" s="69" t="s">
        <v>510</v>
      </c>
      <c r="D50" s="68" t="s">
        <v>106</v>
      </c>
      <c r="E50" s="70">
        <f>'EST - BLOCOS 01_02'!K23</f>
        <v>858.93000000000006</v>
      </c>
      <c r="F50" s="201">
        <v>8.6</v>
      </c>
      <c r="G50" s="201">
        <f t="shared" si="10"/>
        <v>10.89878</v>
      </c>
      <c r="H50" s="201">
        <f t="shared" si="9"/>
        <v>9361.2800000000007</v>
      </c>
    </row>
    <row r="51" spans="1:8" outlineLevel="1" x14ac:dyDescent="0.25">
      <c r="A51" s="79"/>
      <c r="B51" s="79"/>
      <c r="C51" s="80" t="s">
        <v>14</v>
      </c>
      <c r="D51" s="79"/>
      <c r="E51" s="81"/>
      <c r="F51" s="203"/>
      <c r="G51" s="218"/>
      <c r="H51" s="218">
        <f>SUM(H33:H50)</f>
        <v>447486.74000000005</v>
      </c>
    </row>
    <row r="52" spans="1:8" outlineLevel="1" x14ac:dyDescent="0.25">
      <c r="A52" s="173" t="s">
        <v>29</v>
      </c>
      <c r="B52" s="173"/>
      <c r="C52" s="174" t="s">
        <v>157</v>
      </c>
      <c r="D52" s="173"/>
      <c r="E52" s="175"/>
      <c r="F52" s="205"/>
      <c r="G52" s="219"/>
      <c r="H52" s="206"/>
    </row>
    <row r="53" spans="1:8" ht="63" outlineLevel="2" x14ac:dyDescent="0.25">
      <c r="A53" s="68" t="s">
        <v>30</v>
      </c>
      <c r="B53" s="68" t="s">
        <v>2712</v>
      </c>
      <c r="C53" s="69" t="s">
        <v>532</v>
      </c>
      <c r="D53" s="68" t="s">
        <v>106</v>
      </c>
      <c r="E53" s="70">
        <f>'EST - BLOCOS 01_02'!K58</f>
        <v>604.23</v>
      </c>
      <c r="F53" s="201">
        <v>85.43</v>
      </c>
      <c r="G53" s="201">
        <f t="shared" ref="G53:G58" si="11">F53*(1+$E$2)</f>
        <v>108.26543900000001</v>
      </c>
      <c r="H53" s="201">
        <f t="shared" ref="H53:H58" si="12">TRUNC((G53*E53),2)</f>
        <v>65417.22</v>
      </c>
    </row>
    <row r="54" spans="1:8" ht="63" outlineLevel="2" x14ac:dyDescent="0.25">
      <c r="A54" s="68" t="s">
        <v>31</v>
      </c>
      <c r="B54" s="68" t="s">
        <v>2713</v>
      </c>
      <c r="C54" s="116" t="s">
        <v>2714</v>
      </c>
      <c r="D54" s="68" t="s">
        <v>273</v>
      </c>
      <c r="E54" s="70">
        <f>'EST - BLOCOS 01_02'!K59</f>
        <v>38.61</v>
      </c>
      <c r="F54" s="201">
        <v>468.39</v>
      </c>
      <c r="G54" s="201">
        <f t="shared" si="11"/>
        <v>593.59064699999999</v>
      </c>
      <c r="H54" s="201">
        <f t="shared" si="12"/>
        <v>22918.53</v>
      </c>
    </row>
    <row r="55" spans="1:8" ht="63" outlineLevel="2" x14ac:dyDescent="0.25">
      <c r="A55" s="68" t="s">
        <v>83</v>
      </c>
      <c r="B55" s="68" t="s">
        <v>2715</v>
      </c>
      <c r="C55" s="116" t="s">
        <v>533</v>
      </c>
      <c r="D55" s="68" t="s">
        <v>92</v>
      </c>
      <c r="E55" s="70">
        <f>'EST - BLOCOS 01_02'!K61</f>
        <v>963</v>
      </c>
      <c r="F55" s="201">
        <v>11.94</v>
      </c>
      <c r="G55" s="201">
        <f t="shared" si="11"/>
        <v>15.131562000000001</v>
      </c>
      <c r="H55" s="201">
        <f t="shared" si="12"/>
        <v>14571.69</v>
      </c>
    </row>
    <row r="56" spans="1:8" ht="63" outlineLevel="2" x14ac:dyDescent="0.25">
      <c r="A56" s="68" t="s">
        <v>84</v>
      </c>
      <c r="B56" s="68" t="s">
        <v>2716</v>
      </c>
      <c r="C56" s="69" t="s">
        <v>535</v>
      </c>
      <c r="D56" s="68" t="s">
        <v>92</v>
      </c>
      <c r="E56" s="70">
        <f>'EST - BLOCOS 01_02'!K62</f>
        <v>103</v>
      </c>
      <c r="F56" s="201">
        <v>9.9700000000000006</v>
      </c>
      <c r="G56" s="201">
        <f t="shared" si="11"/>
        <v>12.634981000000002</v>
      </c>
      <c r="H56" s="201">
        <f t="shared" si="12"/>
        <v>1301.4000000000001</v>
      </c>
    </row>
    <row r="57" spans="1:8" ht="63" outlineLevel="2" x14ac:dyDescent="0.25">
      <c r="A57" s="68" t="s">
        <v>85</v>
      </c>
      <c r="B57" s="68" t="s">
        <v>2717</v>
      </c>
      <c r="C57" s="69" t="s">
        <v>536</v>
      </c>
      <c r="D57" s="68" t="s">
        <v>92</v>
      </c>
      <c r="E57" s="70">
        <f>'EST - BLOCOS 01_02'!K63</f>
        <v>1975</v>
      </c>
      <c r="F57" s="201">
        <v>8.02</v>
      </c>
      <c r="G57" s="201">
        <f t="shared" si="11"/>
        <v>10.163746</v>
      </c>
      <c r="H57" s="201">
        <f t="shared" si="12"/>
        <v>20073.39</v>
      </c>
    </row>
    <row r="58" spans="1:8" ht="63" outlineLevel="2" x14ac:dyDescent="0.25">
      <c r="A58" s="68" t="s">
        <v>86</v>
      </c>
      <c r="B58" s="68" t="s">
        <v>2718</v>
      </c>
      <c r="C58" s="138" t="s">
        <v>584</v>
      </c>
      <c r="D58" s="68" t="s">
        <v>92</v>
      </c>
      <c r="E58" s="70">
        <f>'EST - BLOCOS 01_02'!K64</f>
        <v>167</v>
      </c>
      <c r="F58" s="201">
        <v>6.57</v>
      </c>
      <c r="G58" s="201">
        <f t="shared" si="11"/>
        <v>8.3261610000000008</v>
      </c>
      <c r="H58" s="201">
        <f t="shared" si="12"/>
        <v>1390.46</v>
      </c>
    </row>
    <row r="59" spans="1:8" outlineLevel="1" x14ac:dyDescent="0.25">
      <c r="A59" s="79"/>
      <c r="B59" s="79"/>
      <c r="C59" s="80" t="s">
        <v>14</v>
      </c>
      <c r="D59" s="79"/>
      <c r="E59" s="81"/>
      <c r="F59" s="203"/>
      <c r="G59" s="218"/>
      <c r="H59" s="218">
        <f>SUM(H53:H58)</f>
        <v>125672.69</v>
      </c>
    </row>
    <row r="60" spans="1:8" outlineLevel="1" x14ac:dyDescent="0.25">
      <c r="A60" s="173" t="s">
        <v>32</v>
      </c>
      <c r="B60" s="173"/>
      <c r="C60" s="174" t="s">
        <v>158</v>
      </c>
      <c r="D60" s="173"/>
      <c r="E60" s="175"/>
      <c r="F60" s="205"/>
      <c r="G60" s="219"/>
      <c r="H60" s="206"/>
    </row>
    <row r="61" spans="1:8" ht="47.25" outlineLevel="2" x14ac:dyDescent="0.25">
      <c r="A61" s="68" t="s">
        <v>33</v>
      </c>
      <c r="B61" s="68" t="s">
        <v>2720</v>
      </c>
      <c r="C61" s="69" t="s">
        <v>539</v>
      </c>
      <c r="D61" s="68" t="s">
        <v>106</v>
      </c>
      <c r="E61" s="70">
        <f>'EST - BLOCOS 01_02'!K67</f>
        <v>1361.58</v>
      </c>
      <c r="F61" s="201">
        <v>78.98</v>
      </c>
      <c r="G61" s="201">
        <f t="shared" ref="G61:G71" si="13">F61*(1+$E$2)</f>
        <v>100.09135400000001</v>
      </c>
      <c r="H61" s="201">
        <f t="shared" ref="H61:H71" si="14">TRUNC((G61*E61),2)</f>
        <v>136282.38</v>
      </c>
    </row>
    <row r="62" spans="1:8" ht="47.25" outlineLevel="2" x14ac:dyDescent="0.25">
      <c r="A62" s="68" t="s">
        <v>122</v>
      </c>
      <c r="B62" s="68" t="s">
        <v>79</v>
      </c>
      <c r="C62" s="69" t="s">
        <v>515</v>
      </c>
      <c r="D62" s="68" t="s">
        <v>273</v>
      </c>
      <c r="E62" s="70">
        <f>'EST - BLOCOS 01_02'!K68</f>
        <v>105.34</v>
      </c>
      <c r="F62" s="201">
        <v>294.68</v>
      </c>
      <c r="G62" s="201">
        <f t="shared" si="13"/>
        <v>373.44796400000001</v>
      </c>
      <c r="H62" s="201">
        <f t="shared" si="14"/>
        <v>39339</v>
      </c>
    </row>
    <row r="63" spans="1:8" ht="31.5" outlineLevel="2" x14ac:dyDescent="0.25">
      <c r="A63" s="68" t="s">
        <v>123</v>
      </c>
      <c r="B63" s="68" t="s">
        <v>2721</v>
      </c>
      <c r="C63" s="69" t="s">
        <v>540</v>
      </c>
      <c r="D63" s="68" t="s">
        <v>273</v>
      </c>
      <c r="E63" s="70">
        <f>'EST - BLOCOS 01_02'!K69</f>
        <v>105.34</v>
      </c>
      <c r="F63" s="201">
        <v>143.36000000000001</v>
      </c>
      <c r="G63" s="201">
        <f t="shared" si="13"/>
        <v>181.68012800000002</v>
      </c>
      <c r="H63" s="201">
        <f t="shared" si="14"/>
        <v>19138.18</v>
      </c>
    </row>
    <row r="64" spans="1:8" ht="63" outlineLevel="2" x14ac:dyDescent="0.25">
      <c r="A64" s="68" t="s">
        <v>289</v>
      </c>
      <c r="B64" s="68" t="s">
        <v>2715</v>
      </c>
      <c r="C64" s="69" t="s">
        <v>533</v>
      </c>
      <c r="D64" s="68" t="s">
        <v>92</v>
      </c>
      <c r="E64" s="70">
        <f>'EST - BLOCOS 01_02'!K70</f>
        <v>1261</v>
      </c>
      <c r="F64" s="201">
        <v>11.94</v>
      </c>
      <c r="G64" s="201">
        <f t="shared" si="13"/>
        <v>15.131562000000001</v>
      </c>
      <c r="H64" s="201">
        <f t="shared" si="14"/>
        <v>19080.89</v>
      </c>
    </row>
    <row r="65" spans="1:8" ht="63" outlineLevel="2" x14ac:dyDescent="0.25">
      <c r="A65" s="68" t="s">
        <v>290</v>
      </c>
      <c r="B65" s="68" t="s">
        <v>2722</v>
      </c>
      <c r="C65" s="69" t="s">
        <v>534</v>
      </c>
      <c r="D65" s="68" t="s">
        <v>92</v>
      </c>
      <c r="E65" s="70">
        <f>'EST - BLOCOS 01_02'!K71</f>
        <v>952</v>
      </c>
      <c r="F65" s="201">
        <v>10.7</v>
      </c>
      <c r="G65" s="201">
        <f t="shared" si="13"/>
        <v>13.56011</v>
      </c>
      <c r="H65" s="201">
        <f t="shared" si="14"/>
        <v>12909.22</v>
      </c>
    </row>
    <row r="66" spans="1:8" ht="63" outlineLevel="2" x14ac:dyDescent="0.25">
      <c r="A66" s="68" t="s">
        <v>291</v>
      </c>
      <c r="B66" s="68" t="s">
        <v>2716</v>
      </c>
      <c r="C66" s="69" t="s">
        <v>535</v>
      </c>
      <c r="D66" s="68" t="s">
        <v>92</v>
      </c>
      <c r="E66" s="70">
        <f>'EST - BLOCOS 01_02'!K72</f>
        <v>817</v>
      </c>
      <c r="F66" s="201">
        <v>9.9700000000000006</v>
      </c>
      <c r="G66" s="201">
        <f t="shared" si="13"/>
        <v>12.634981000000002</v>
      </c>
      <c r="H66" s="201">
        <f t="shared" si="14"/>
        <v>10322.77</v>
      </c>
    </row>
    <row r="67" spans="1:8" ht="63" outlineLevel="2" x14ac:dyDescent="0.25">
      <c r="A67" s="68" t="s">
        <v>292</v>
      </c>
      <c r="B67" s="68" t="s">
        <v>2717</v>
      </c>
      <c r="C67" s="69" t="s">
        <v>536</v>
      </c>
      <c r="D67" s="68" t="s">
        <v>92</v>
      </c>
      <c r="E67" s="70">
        <f>'EST - BLOCOS 01_02'!K73</f>
        <v>2825</v>
      </c>
      <c r="F67" s="201">
        <v>8.02</v>
      </c>
      <c r="G67" s="201">
        <f t="shared" si="13"/>
        <v>10.163746</v>
      </c>
      <c r="H67" s="201">
        <f t="shared" si="14"/>
        <v>28712.58</v>
      </c>
    </row>
    <row r="68" spans="1:8" ht="63" outlineLevel="2" x14ac:dyDescent="0.25">
      <c r="A68" s="68" t="s">
        <v>293</v>
      </c>
      <c r="B68" s="68" t="s">
        <v>2718</v>
      </c>
      <c r="C68" s="69" t="s">
        <v>584</v>
      </c>
      <c r="D68" s="68" t="s">
        <v>92</v>
      </c>
      <c r="E68" s="70">
        <f>'EST - BLOCOS 01_02'!K74</f>
        <v>318</v>
      </c>
      <c r="F68" s="201">
        <v>6.57</v>
      </c>
      <c r="G68" s="201">
        <f t="shared" si="13"/>
        <v>8.3261610000000008</v>
      </c>
      <c r="H68" s="201">
        <f t="shared" si="14"/>
        <v>2647.71</v>
      </c>
    </row>
    <row r="69" spans="1:8" ht="63" outlineLevel="2" x14ac:dyDescent="0.25">
      <c r="A69" s="68" t="s">
        <v>585</v>
      </c>
      <c r="B69" s="68" t="s">
        <v>2719</v>
      </c>
      <c r="C69" s="69" t="s">
        <v>537</v>
      </c>
      <c r="D69" s="68" t="s">
        <v>92</v>
      </c>
      <c r="E69" s="70">
        <f>'EST - BLOCOS 01_02'!K75</f>
        <v>135</v>
      </c>
      <c r="F69" s="201">
        <v>5.0599999999999996</v>
      </c>
      <c r="G69" s="201">
        <f t="shared" si="13"/>
        <v>6.4125379999999996</v>
      </c>
      <c r="H69" s="201">
        <f t="shared" si="14"/>
        <v>865.69</v>
      </c>
    </row>
    <row r="70" spans="1:8" ht="47.25" outlineLevel="2" x14ac:dyDescent="0.25">
      <c r="A70" s="68" t="s">
        <v>586</v>
      </c>
      <c r="B70" s="68" t="s">
        <v>588</v>
      </c>
      <c r="C70" s="69" t="s">
        <v>587</v>
      </c>
      <c r="D70" s="68" t="s">
        <v>106</v>
      </c>
      <c r="E70" s="70">
        <f>'EST - BLOCOS 01_02'!K77</f>
        <v>1968.0700000000002</v>
      </c>
      <c r="F70" s="221">
        <v>75.17</v>
      </c>
      <c r="G70" s="201">
        <f t="shared" si="13"/>
        <v>95.262941000000012</v>
      </c>
      <c r="H70" s="201">
        <f t="shared" si="14"/>
        <v>187484.13</v>
      </c>
    </row>
    <row r="71" spans="1:8" ht="31.5" outlineLevel="2" x14ac:dyDescent="0.25">
      <c r="A71" s="68" t="s">
        <v>3342</v>
      </c>
      <c r="B71" s="68" t="s">
        <v>2724</v>
      </c>
      <c r="C71" s="69" t="s">
        <v>589</v>
      </c>
      <c r="D71" s="226" t="s">
        <v>106</v>
      </c>
      <c r="E71" s="70">
        <f>'EST - BLOCOS 01_02'!K78</f>
        <v>2361.6840000000002</v>
      </c>
      <c r="F71" s="201">
        <v>10.61</v>
      </c>
      <c r="G71" s="201">
        <f t="shared" si="13"/>
        <v>13.446053000000001</v>
      </c>
      <c r="H71" s="201">
        <f t="shared" si="14"/>
        <v>31755.32</v>
      </c>
    </row>
    <row r="72" spans="1:8" outlineLevel="1" x14ac:dyDescent="0.25">
      <c r="A72" s="79"/>
      <c r="B72" s="79"/>
      <c r="C72" s="80" t="s">
        <v>14</v>
      </c>
      <c r="D72" s="79"/>
      <c r="E72" s="81"/>
      <c r="F72" s="203"/>
      <c r="G72" s="218"/>
      <c r="H72" s="218">
        <f>SUM(H61:H71)</f>
        <v>488537.87000000005</v>
      </c>
    </row>
    <row r="73" spans="1:8" outlineLevel="1" x14ac:dyDescent="0.25">
      <c r="A73" s="173" t="s">
        <v>124</v>
      </c>
      <c r="B73" s="173"/>
      <c r="C73" s="174" t="s">
        <v>153</v>
      </c>
      <c r="D73" s="173"/>
      <c r="E73" s="175"/>
      <c r="F73" s="205"/>
      <c r="G73" s="219"/>
      <c r="H73" s="206"/>
    </row>
    <row r="74" spans="1:8" ht="31.5" outlineLevel="2" x14ac:dyDescent="0.25">
      <c r="A74" s="68" t="s">
        <v>94</v>
      </c>
      <c r="B74" s="68" t="s">
        <v>2723</v>
      </c>
      <c r="C74" s="69" t="s">
        <v>511</v>
      </c>
      <c r="D74" s="68" t="s">
        <v>106</v>
      </c>
      <c r="E74" s="70">
        <f>'EST - BLOCOS 01_02'!K27</f>
        <v>1895.8899999999999</v>
      </c>
      <c r="F74" s="201">
        <v>4.55</v>
      </c>
      <c r="G74" s="201">
        <f t="shared" ref="G74:G78" si="15">F74*(1+$E$2)</f>
        <v>5.7662149999999999</v>
      </c>
      <c r="H74" s="201">
        <f t="shared" ref="H74:H78" si="16">TRUNC((G74*E74),2)</f>
        <v>10932.1</v>
      </c>
    </row>
    <row r="75" spans="1:8" outlineLevel="2" x14ac:dyDescent="0.25">
      <c r="A75" s="68" t="s">
        <v>95</v>
      </c>
      <c r="B75" s="68" t="s">
        <v>642</v>
      </c>
      <c r="C75" s="69" t="s">
        <v>643</v>
      </c>
      <c r="D75" s="68" t="s">
        <v>273</v>
      </c>
      <c r="E75" s="70">
        <f>'EST - BLOCOS 01_02'!K26</f>
        <v>980.59349999999995</v>
      </c>
      <c r="F75" s="201">
        <v>87.4</v>
      </c>
      <c r="G75" s="201">
        <f t="shared" si="15"/>
        <v>110.76202000000002</v>
      </c>
      <c r="H75" s="201">
        <f t="shared" si="16"/>
        <v>108612.51</v>
      </c>
    </row>
    <row r="76" spans="1:8" ht="31.5" outlineLevel="2" x14ac:dyDescent="0.25">
      <c r="A76" s="68" t="s">
        <v>97</v>
      </c>
      <c r="B76" s="68" t="s">
        <v>2724</v>
      </c>
      <c r="C76" s="69" t="s">
        <v>589</v>
      </c>
      <c r="D76" s="226" t="s">
        <v>106</v>
      </c>
      <c r="E76" s="70">
        <f>'EST - BLOCOS 01_02'!K30</f>
        <v>2275.0680000000002</v>
      </c>
      <c r="F76" s="201">
        <v>10.61</v>
      </c>
      <c r="G76" s="201">
        <f t="shared" si="15"/>
        <v>13.446053000000001</v>
      </c>
      <c r="H76" s="201">
        <f t="shared" si="16"/>
        <v>30590.68</v>
      </c>
    </row>
    <row r="77" spans="1:8" ht="47.25" outlineLevel="2" x14ac:dyDescent="0.25">
      <c r="A77" s="68" t="s">
        <v>98</v>
      </c>
      <c r="B77" s="68" t="s">
        <v>79</v>
      </c>
      <c r="C77" s="69" t="s">
        <v>515</v>
      </c>
      <c r="D77" s="68" t="s">
        <v>273</v>
      </c>
      <c r="E77" s="70">
        <f>'EST - BLOCOS 01_02'!K28</f>
        <v>132.71230000000003</v>
      </c>
      <c r="F77" s="201">
        <v>294.68</v>
      </c>
      <c r="G77" s="201">
        <f t="shared" si="15"/>
        <v>373.44796400000001</v>
      </c>
      <c r="H77" s="201">
        <f t="shared" si="16"/>
        <v>49561.13</v>
      </c>
    </row>
    <row r="78" spans="1:8" ht="31.5" outlineLevel="2" x14ac:dyDescent="0.25">
      <c r="A78" s="68" t="s">
        <v>125</v>
      </c>
      <c r="B78" s="68" t="s">
        <v>2711</v>
      </c>
      <c r="C78" s="69" t="s">
        <v>514</v>
      </c>
      <c r="D78" s="68" t="s">
        <v>273</v>
      </c>
      <c r="E78" s="70">
        <f>'EST - BLOCOS 01_02'!K29</f>
        <v>132.71230000000003</v>
      </c>
      <c r="F78" s="201">
        <v>23.69</v>
      </c>
      <c r="G78" s="201">
        <f t="shared" si="15"/>
        <v>30.022337000000004</v>
      </c>
      <c r="H78" s="201">
        <f t="shared" si="16"/>
        <v>3984.33</v>
      </c>
    </row>
    <row r="79" spans="1:8" outlineLevel="1" x14ac:dyDescent="0.25">
      <c r="A79" s="79"/>
      <c r="B79" s="79"/>
      <c r="C79" s="80" t="s">
        <v>14</v>
      </c>
      <c r="D79" s="79"/>
      <c r="E79" s="81"/>
      <c r="F79" s="203"/>
      <c r="G79" s="218"/>
      <c r="H79" s="218">
        <f>SUM(H74:H78)</f>
        <v>203680.75</v>
      </c>
    </row>
    <row r="80" spans="1:8" outlineLevel="1" x14ac:dyDescent="0.25">
      <c r="A80" s="173" t="s">
        <v>138</v>
      </c>
      <c r="B80" s="173"/>
      <c r="C80" s="174" t="s">
        <v>74</v>
      </c>
      <c r="D80" s="173"/>
      <c r="E80" s="175"/>
      <c r="F80" s="205"/>
      <c r="G80" s="219"/>
      <c r="H80" s="206"/>
    </row>
    <row r="81" spans="1:8" s="71" customFormat="1" ht="31.5" outlineLevel="2" x14ac:dyDescent="0.25">
      <c r="A81" s="68" t="s">
        <v>100</v>
      </c>
      <c r="B81" s="68" t="s">
        <v>593</v>
      </c>
      <c r="C81" s="69" t="s">
        <v>592</v>
      </c>
      <c r="D81" s="68" t="s">
        <v>92</v>
      </c>
      <c r="E81" s="70">
        <f>'EST - BLOCOS 01_02'!K80</f>
        <v>33530.9</v>
      </c>
      <c r="F81" s="201">
        <v>6.89</v>
      </c>
      <c r="G81" s="201">
        <f t="shared" ref="G81:G85" si="17">F81*(1+$E$2)</f>
        <v>8.7316970000000005</v>
      </c>
      <c r="H81" s="201">
        <f t="shared" ref="H81:H88" si="18">TRUNC((G81*E81),2)</f>
        <v>292781.65000000002</v>
      </c>
    </row>
    <row r="82" spans="1:8" s="71" customFormat="1" outlineLevel="2" x14ac:dyDescent="0.25">
      <c r="A82" s="68" t="s">
        <v>101</v>
      </c>
      <c r="B82" s="68" t="s">
        <v>595</v>
      </c>
      <c r="C82" s="69" t="s">
        <v>594</v>
      </c>
      <c r="D82" s="68" t="s">
        <v>92</v>
      </c>
      <c r="E82" s="70">
        <f>E81</f>
        <v>33530.9</v>
      </c>
      <c r="F82" s="201">
        <v>1.64</v>
      </c>
      <c r="G82" s="201">
        <f t="shared" si="17"/>
        <v>2.0783719999999999</v>
      </c>
      <c r="H82" s="201">
        <f t="shared" si="18"/>
        <v>69689.679999999993</v>
      </c>
    </row>
    <row r="83" spans="1:8" ht="31.5" outlineLevel="2" x14ac:dyDescent="0.25">
      <c r="A83" s="68" t="s">
        <v>102</v>
      </c>
      <c r="B83" s="68" t="s">
        <v>1555</v>
      </c>
      <c r="C83" s="69" t="s">
        <v>1554</v>
      </c>
      <c r="D83" s="68" t="s">
        <v>106</v>
      </c>
      <c r="E83" s="70">
        <f>'EST - BLOCOS 01_02'!K81</f>
        <v>1772.7600000000002</v>
      </c>
      <c r="F83" s="201">
        <v>21.24</v>
      </c>
      <c r="G83" s="201">
        <f t="shared" si="17"/>
        <v>26.917452000000001</v>
      </c>
      <c r="H83" s="201">
        <f t="shared" si="18"/>
        <v>47718.18</v>
      </c>
    </row>
    <row r="84" spans="1:8" ht="31.5" outlineLevel="2" x14ac:dyDescent="0.25">
      <c r="A84" s="68" t="s">
        <v>103</v>
      </c>
      <c r="B84" s="226" t="s">
        <v>2725</v>
      </c>
      <c r="C84" s="69" t="s">
        <v>913</v>
      </c>
      <c r="D84" s="68" t="s">
        <v>106</v>
      </c>
      <c r="E84" s="70">
        <f>'ARQ - BLOCO DE SALAS'!F22</f>
        <v>34.5</v>
      </c>
      <c r="F84" s="221">
        <v>104.02</v>
      </c>
      <c r="G84" s="201">
        <f t="shared" ref="G84" si="19">F84*(1+$E$2)</f>
        <v>131.824546</v>
      </c>
      <c r="H84" s="201">
        <f t="shared" si="18"/>
        <v>4547.9399999999996</v>
      </c>
    </row>
    <row r="85" spans="1:8" ht="31.5" outlineLevel="2" x14ac:dyDescent="0.25">
      <c r="A85" s="68" t="s">
        <v>104</v>
      </c>
      <c r="B85" s="68" t="s">
        <v>815</v>
      </c>
      <c r="C85" s="69" t="s">
        <v>816</v>
      </c>
      <c r="D85" s="68" t="s">
        <v>106</v>
      </c>
      <c r="E85" s="70">
        <f>'ARQ - BLOCO DE SALAS'!F23</f>
        <v>2434.4</v>
      </c>
      <c r="F85" s="201">
        <v>38.36</v>
      </c>
      <c r="G85" s="201">
        <f t="shared" si="17"/>
        <v>48.613628000000006</v>
      </c>
      <c r="H85" s="201">
        <f t="shared" si="18"/>
        <v>118345.01</v>
      </c>
    </row>
    <row r="86" spans="1:8" ht="31.5" outlineLevel="2" x14ac:dyDescent="0.25">
      <c r="A86" s="68" t="s">
        <v>105</v>
      </c>
      <c r="B86" s="68" t="s">
        <v>2191</v>
      </c>
      <c r="C86" s="69" t="s">
        <v>2192</v>
      </c>
      <c r="D86" s="68" t="s">
        <v>106</v>
      </c>
      <c r="E86" s="70">
        <f>'ARQ - BLOCO DE SALAS'!F24</f>
        <v>65.77</v>
      </c>
      <c r="F86" s="201">
        <v>322.5</v>
      </c>
      <c r="G86" s="201">
        <f t="shared" ref="G86:G87" si="20">F86*(1+$E$2)</f>
        <v>408.70425</v>
      </c>
      <c r="H86" s="201">
        <f t="shared" si="18"/>
        <v>26880.47</v>
      </c>
    </row>
    <row r="87" spans="1:8" ht="47.25" outlineLevel="2" x14ac:dyDescent="0.25">
      <c r="A87" s="68" t="s">
        <v>2194</v>
      </c>
      <c r="B87" s="68" t="s">
        <v>2726</v>
      </c>
      <c r="C87" s="69" t="s">
        <v>1901</v>
      </c>
      <c r="D87" s="68" t="s">
        <v>99</v>
      </c>
      <c r="E87" s="70">
        <f>'ARQ - BLOCO DE SALAS'!F25</f>
        <v>13.8</v>
      </c>
      <c r="F87" s="201">
        <v>54.91</v>
      </c>
      <c r="G87" s="201">
        <f t="shared" si="20"/>
        <v>69.587443000000007</v>
      </c>
      <c r="H87" s="201">
        <f t="shared" si="18"/>
        <v>960.3</v>
      </c>
    </row>
    <row r="88" spans="1:8" ht="31.5" outlineLevel="2" x14ac:dyDescent="0.25">
      <c r="A88" s="68" t="s">
        <v>2195</v>
      </c>
      <c r="B88" s="68" t="s">
        <v>2727</v>
      </c>
      <c r="C88" s="69" t="s">
        <v>1902</v>
      </c>
      <c r="D88" s="68" t="s">
        <v>99</v>
      </c>
      <c r="E88" s="70">
        <f>'ARQ - BLOCO DE SALAS'!F26</f>
        <v>17.8</v>
      </c>
      <c r="F88" s="201">
        <v>25.82</v>
      </c>
      <c r="G88" s="201">
        <f t="shared" ref="G88" si="21">F88*(1+$E$2)</f>
        <v>32.721686000000005</v>
      </c>
      <c r="H88" s="201">
        <f t="shared" si="18"/>
        <v>582.44000000000005</v>
      </c>
    </row>
    <row r="89" spans="1:8" outlineLevel="1" x14ac:dyDescent="0.25">
      <c r="A89" s="79"/>
      <c r="B89" s="79"/>
      <c r="C89" s="80" t="s">
        <v>14</v>
      </c>
      <c r="D89" s="79"/>
      <c r="E89" s="81"/>
      <c r="F89" s="203"/>
      <c r="G89" s="218"/>
      <c r="H89" s="218">
        <f>SUM(H81:H88)</f>
        <v>561505.66999999993</v>
      </c>
    </row>
    <row r="90" spans="1:8" outlineLevel="1" x14ac:dyDescent="0.25">
      <c r="A90" s="173" t="s">
        <v>139</v>
      </c>
      <c r="B90" s="173"/>
      <c r="C90" s="174" t="s">
        <v>78</v>
      </c>
      <c r="D90" s="173"/>
      <c r="E90" s="176"/>
      <c r="F90" s="206"/>
      <c r="G90" s="219"/>
      <c r="H90" s="206"/>
    </row>
    <row r="91" spans="1:8" ht="47.25" outlineLevel="2" x14ac:dyDescent="0.25">
      <c r="A91" s="68" t="s">
        <v>108</v>
      </c>
      <c r="B91" s="68" t="s">
        <v>2728</v>
      </c>
      <c r="C91" s="69" t="s">
        <v>786</v>
      </c>
      <c r="D91" s="226" t="s">
        <v>106</v>
      </c>
      <c r="E91" s="70">
        <f>'ARQ - BLOCO DE SALAS'!F29</f>
        <v>10.88</v>
      </c>
      <c r="F91" s="201">
        <v>872.45</v>
      </c>
      <c r="G91" s="201">
        <f t="shared" ref="G91:G99" si="22">F91*(1+$E$2)</f>
        <v>1105.6558850000001</v>
      </c>
      <c r="H91" s="201">
        <f t="shared" ref="H91:H99" si="23">TRUNC((G91*E91),2)</f>
        <v>12029.53</v>
      </c>
    </row>
    <row r="92" spans="1:8" ht="63" outlineLevel="2" x14ac:dyDescent="0.25">
      <c r="A92" s="68" t="s">
        <v>110</v>
      </c>
      <c r="B92" s="68" t="s">
        <v>804</v>
      </c>
      <c r="C92" s="69" t="s">
        <v>2729</v>
      </c>
      <c r="D92" s="68" t="s">
        <v>56</v>
      </c>
      <c r="E92" s="70">
        <f>'ARQ - BLOCO DE SALAS'!F30+'ARQ - BLOCO DE SALAS'!F32</f>
        <v>6</v>
      </c>
      <c r="F92" s="201">
        <v>798.99</v>
      </c>
      <c r="G92" s="201">
        <f t="shared" si="22"/>
        <v>1012.5600270000001</v>
      </c>
      <c r="H92" s="201">
        <f t="shared" si="23"/>
        <v>6075.36</v>
      </c>
    </row>
    <row r="93" spans="1:8" ht="63" outlineLevel="2" x14ac:dyDescent="0.25">
      <c r="A93" s="68" t="s">
        <v>111</v>
      </c>
      <c r="B93" s="68" t="s">
        <v>802</v>
      </c>
      <c r="C93" s="69" t="s">
        <v>803</v>
      </c>
      <c r="D93" s="68" t="s">
        <v>56</v>
      </c>
      <c r="E93" s="70">
        <f>'ARQ - BLOCO DE SALAS'!F31</f>
        <v>21</v>
      </c>
      <c r="F93" s="221">
        <v>1584.03</v>
      </c>
      <c r="G93" s="201">
        <f t="shared" si="22"/>
        <v>2007.441219</v>
      </c>
      <c r="H93" s="201">
        <f t="shared" si="23"/>
        <v>42156.26</v>
      </c>
    </row>
    <row r="94" spans="1:8" s="71" customFormat="1" ht="31.5" outlineLevel="2" x14ac:dyDescent="0.25">
      <c r="A94" s="68" t="s">
        <v>127</v>
      </c>
      <c r="B94" s="68" t="s">
        <v>1908</v>
      </c>
      <c r="C94" s="69" t="s">
        <v>1909</v>
      </c>
      <c r="D94" s="68" t="s">
        <v>56</v>
      </c>
      <c r="E94" s="70">
        <f>'ARQ - BLOCO DE SALAS'!F32</f>
        <v>2</v>
      </c>
      <c r="F94" s="201">
        <v>172.38</v>
      </c>
      <c r="G94" s="201">
        <f t="shared" ref="G94" si="24">F94*(1+$E$2)</f>
        <v>218.45717400000001</v>
      </c>
      <c r="H94" s="201">
        <f t="shared" si="23"/>
        <v>436.91</v>
      </c>
    </row>
    <row r="95" spans="1:8" ht="31.5" outlineLevel="2" x14ac:dyDescent="0.25">
      <c r="A95" s="68" t="s">
        <v>128</v>
      </c>
      <c r="B95" s="68" t="s">
        <v>789</v>
      </c>
      <c r="C95" s="69" t="s">
        <v>790</v>
      </c>
      <c r="D95" s="68" t="s">
        <v>56</v>
      </c>
      <c r="E95" s="70">
        <f>'ARQ - BLOCO DE SALAS'!F33</f>
        <v>1</v>
      </c>
      <c r="F95" s="201">
        <v>3243.19</v>
      </c>
      <c r="G95" s="201">
        <f>F95*(1+$E$2)</f>
        <v>4110.0946870000007</v>
      </c>
      <c r="H95" s="201">
        <f t="shared" si="23"/>
        <v>4110.09</v>
      </c>
    </row>
    <row r="96" spans="1:8" ht="31.5" outlineLevel="2" x14ac:dyDescent="0.25">
      <c r="A96" s="68" t="s">
        <v>129</v>
      </c>
      <c r="B96" s="68" t="s">
        <v>787</v>
      </c>
      <c r="C96" s="69" t="s">
        <v>788</v>
      </c>
      <c r="D96" s="68" t="s">
        <v>56</v>
      </c>
      <c r="E96" s="70">
        <f>'ARQ - BLOCO DE SALAS'!F34</f>
        <v>1</v>
      </c>
      <c r="F96" s="201">
        <v>1790.65</v>
      </c>
      <c r="G96" s="201">
        <f t="shared" si="22"/>
        <v>2269.2907450000002</v>
      </c>
      <c r="H96" s="201">
        <f t="shared" si="23"/>
        <v>2269.29</v>
      </c>
    </row>
    <row r="97" spans="1:8" ht="63" outlineLevel="2" x14ac:dyDescent="0.25">
      <c r="A97" s="68" t="s">
        <v>978</v>
      </c>
      <c r="B97" s="68" t="s">
        <v>1987</v>
      </c>
      <c r="C97" s="69" t="s">
        <v>2687</v>
      </c>
      <c r="D97" s="68" t="s">
        <v>56</v>
      </c>
      <c r="E97" s="70">
        <f>'ARQ - BLOCO DE SALAS'!F35</f>
        <v>6</v>
      </c>
      <c r="F97" s="201">
        <v>1125.79</v>
      </c>
      <c r="G97" s="201">
        <f t="shared" ref="G97" si="25">F97*(1+$E$2)</f>
        <v>1426.713667</v>
      </c>
      <c r="H97" s="201">
        <f t="shared" si="23"/>
        <v>8560.2800000000007</v>
      </c>
    </row>
    <row r="98" spans="1:8" ht="31.5" outlineLevel="2" x14ac:dyDescent="0.25">
      <c r="A98" s="68" t="s">
        <v>1873</v>
      </c>
      <c r="B98" s="68" t="s">
        <v>2730</v>
      </c>
      <c r="C98" s="69" t="s">
        <v>806</v>
      </c>
      <c r="D98" s="68" t="s">
        <v>106</v>
      </c>
      <c r="E98" s="70">
        <f>'ARQ - BLOCO DE SALAS'!G36+'ARQ - BLOCO DE SALAS'!G37+'ARQ - BLOCO DE SALAS'!G38+'ARQ - BLOCO DE SALAS'!G39+'ARQ - BLOCO DE SALAS'!G40</f>
        <v>186.31999999999996</v>
      </c>
      <c r="F98" s="201">
        <v>857.15</v>
      </c>
      <c r="G98" s="201">
        <f t="shared" si="22"/>
        <v>1086.2661950000002</v>
      </c>
      <c r="H98" s="201">
        <f t="shared" si="23"/>
        <v>202393.11</v>
      </c>
    </row>
    <row r="99" spans="1:8" s="71" customFormat="1" outlineLevel="2" x14ac:dyDescent="0.25">
      <c r="A99" s="68" t="s">
        <v>1874</v>
      </c>
      <c r="B99" s="68" t="s">
        <v>940</v>
      </c>
      <c r="C99" s="69" t="s">
        <v>941</v>
      </c>
      <c r="D99" s="68" t="s">
        <v>106</v>
      </c>
      <c r="E99" s="70">
        <f>'ARQ - BLOCO DE SALAS'!F41+'ARQ - BLOCO DE SALAS'!F42</f>
        <v>56.67</v>
      </c>
      <c r="F99" s="221">
        <v>770.86</v>
      </c>
      <c r="G99" s="201">
        <f t="shared" si="22"/>
        <v>976.91087800000014</v>
      </c>
      <c r="H99" s="201">
        <f t="shared" si="23"/>
        <v>55361.53</v>
      </c>
    </row>
    <row r="100" spans="1:8" outlineLevel="1" x14ac:dyDescent="0.25">
      <c r="A100" s="79"/>
      <c r="B100" s="79"/>
      <c r="C100" s="80" t="s">
        <v>14</v>
      </c>
      <c r="D100" s="79"/>
      <c r="E100" s="81"/>
      <c r="F100" s="203"/>
      <c r="G100" s="218"/>
      <c r="H100" s="218">
        <f>SUM(H91:H99)</f>
        <v>333392.36</v>
      </c>
    </row>
    <row r="101" spans="1:8" outlineLevel="1" x14ac:dyDescent="0.25">
      <c r="A101" s="173" t="s">
        <v>140</v>
      </c>
      <c r="B101" s="173"/>
      <c r="C101" s="174" t="s">
        <v>93</v>
      </c>
      <c r="D101" s="173"/>
      <c r="E101" s="176"/>
      <c r="F101" s="206"/>
      <c r="G101" s="219"/>
      <c r="H101" s="206"/>
    </row>
    <row r="102" spans="1:8" s="71" customFormat="1" ht="78.75" outlineLevel="2" x14ac:dyDescent="0.25">
      <c r="A102" s="68" t="s">
        <v>112</v>
      </c>
      <c r="B102" s="68" t="s">
        <v>2731</v>
      </c>
      <c r="C102" s="69" t="s">
        <v>644</v>
      </c>
      <c r="D102" s="68" t="s">
        <v>106</v>
      </c>
      <c r="E102" s="70">
        <f>'ARQ - BLOCO DE SALAS'!F53</f>
        <v>3060.58</v>
      </c>
      <c r="F102" s="201">
        <v>57.74</v>
      </c>
      <c r="G102" s="201">
        <f t="shared" ref="G102:G107" si="26">F102*(1+$E$2)</f>
        <v>73.173902000000012</v>
      </c>
      <c r="H102" s="201">
        <f t="shared" ref="H102:H107" si="27">TRUNC((G102*E102),2)</f>
        <v>223954.58</v>
      </c>
    </row>
    <row r="103" spans="1:8" s="71" customFormat="1" ht="31.5" outlineLevel="2" x14ac:dyDescent="0.25">
      <c r="A103" s="68" t="s">
        <v>130</v>
      </c>
      <c r="B103" s="68" t="s">
        <v>2732</v>
      </c>
      <c r="C103" s="69" t="s">
        <v>826</v>
      </c>
      <c r="D103" s="68" t="s">
        <v>99</v>
      </c>
      <c r="E103" s="70">
        <f>'ARQ - BLOCO DE SALAS'!E48</f>
        <v>3.2</v>
      </c>
      <c r="F103" s="201">
        <v>33.25</v>
      </c>
      <c r="G103" s="201">
        <f t="shared" si="26"/>
        <v>42.137725000000003</v>
      </c>
      <c r="H103" s="201">
        <f t="shared" si="27"/>
        <v>134.84</v>
      </c>
    </row>
    <row r="104" spans="1:8" s="71" customFormat="1" ht="31.5" outlineLevel="2" x14ac:dyDescent="0.25">
      <c r="A104" s="68" t="s">
        <v>979</v>
      </c>
      <c r="B104" s="68" t="s">
        <v>2733</v>
      </c>
      <c r="C104" s="69" t="s">
        <v>827</v>
      </c>
      <c r="D104" s="68" t="s">
        <v>99</v>
      </c>
      <c r="E104" s="70">
        <f>'ARQ - BLOCO DE SALAS'!E47</f>
        <v>177</v>
      </c>
      <c r="F104" s="201">
        <v>38.15</v>
      </c>
      <c r="G104" s="201">
        <f t="shared" si="26"/>
        <v>48.347495000000002</v>
      </c>
      <c r="H104" s="201">
        <f t="shared" si="27"/>
        <v>8557.5</v>
      </c>
    </row>
    <row r="105" spans="1:8" s="71" customFormat="1" ht="31.5" outlineLevel="2" x14ac:dyDescent="0.25">
      <c r="A105" s="68" t="s">
        <v>980</v>
      </c>
      <c r="B105" s="68" t="s">
        <v>2734</v>
      </c>
      <c r="C105" s="69" t="s">
        <v>828</v>
      </c>
      <c r="D105" s="68" t="s">
        <v>99</v>
      </c>
      <c r="E105" s="70">
        <f>'ARQ - BLOCO DE SALAS'!E46</f>
        <v>42.3</v>
      </c>
      <c r="F105" s="201">
        <v>32.380000000000003</v>
      </c>
      <c r="G105" s="201">
        <f t="shared" si="26"/>
        <v>41.035174000000005</v>
      </c>
      <c r="H105" s="201">
        <f t="shared" si="27"/>
        <v>1735.78</v>
      </c>
    </row>
    <row r="106" spans="1:8" s="71" customFormat="1" ht="31.5" outlineLevel="2" x14ac:dyDescent="0.25">
      <c r="A106" s="68" t="s">
        <v>981</v>
      </c>
      <c r="B106" s="68" t="s">
        <v>2735</v>
      </c>
      <c r="C106" s="69" t="s">
        <v>829</v>
      </c>
      <c r="D106" s="68" t="s">
        <v>99</v>
      </c>
      <c r="E106" s="70">
        <f>'ARQ - BLOCO DE SALAS'!E49</f>
        <v>177</v>
      </c>
      <c r="F106" s="201">
        <v>34.97</v>
      </c>
      <c r="G106" s="201">
        <f t="shared" si="26"/>
        <v>44.317481000000001</v>
      </c>
      <c r="H106" s="201">
        <f t="shared" si="27"/>
        <v>7844.19</v>
      </c>
    </row>
    <row r="107" spans="1:8" s="71" customFormat="1" ht="31.5" outlineLevel="2" x14ac:dyDescent="0.25">
      <c r="A107" s="68" t="s">
        <v>982</v>
      </c>
      <c r="B107" s="68" t="s">
        <v>2736</v>
      </c>
      <c r="C107" s="69" t="s">
        <v>830</v>
      </c>
      <c r="D107" s="68" t="s">
        <v>99</v>
      </c>
      <c r="E107" s="70">
        <f>'ARQ - BLOCO DE SALAS'!E50</f>
        <v>3.2</v>
      </c>
      <c r="F107" s="201">
        <v>31.73</v>
      </c>
      <c r="G107" s="201">
        <f t="shared" si="26"/>
        <v>40.211429000000003</v>
      </c>
      <c r="H107" s="201">
        <f t="shared" si="27"/>
        <v>128.66999999999999</v>
      </c>
    </row>
    <row r="108" spans="1:8" s="71" customFormat="1" outlineLevel="1" x14ac:dyDescent="0.25">
      <c r="A108" s="122"/>
      <c r="B108" s="79"/>
      <c r="C108" s="80" t="s">
        <v>14</v>
      </c>
      <c r="D108" s="79"/>
      <c r="E108" s="81"/>
      <c r="F108" s="203"/>
      <c r="G108" s="218"/>
      <c r="H108" s="218">
        <f>SUM(H102:H107)</f>
        <v>242355.56</v>
      </c>
    </row>
    <row r="109" spans="1:8" outlineLevel="1" x14ac:dyDescent="0.25">
      <c r="A109" s="173" t="s">
        <v>192</v>
      </c>
      <c r="B109" s="173"/>
      <c r="C109" s="174" t="s">
        <v>80</v>
      </c>
      <c r="D109" s="173"/>
      <c r="E109" s="176"/>
      <c r="F109" s="206"/>
      <c r="G109" s="219"/>
      <c r="H109" s="206"/>
    </row>
    <row r="110" spans="1:8" s="71" customFormat="1" ht="63" outlineLevel="2" x14ac:dyDescent="0.25">
      <c r="A110" s="68" t="s">
        <v>114</v>
      </c>
      <c r="B110" s="68" t="s">
        <v>2737</v>
      </c>
      <c r="C110" s="69" t="s">
        <v>2738</v>
      </c>
      <c r="D110" s="68" t="s">
        <v>106</v>
      </c>
      <c r="E110" s="70">
        <f>'ARQ - BLOCO DE SALAS'!F56</f>
        <v>4919.7700000000004</v>
      </c>
      <c r="F110" s="201">
        <v>2.56</v>
      </c>
      <c r="G110" s="201">
        <f t="shared" ref="G110:G117" si="28">F110*(1+$E$2)</f>
        <v>3.2442880000000005</v>
      </c>
      <c r="H110" s="201">
        <f t="shared" ref="H110:H117" si="29">TRUNC((G110*E110),2)</f>
        <v>15961.15</v>
      </c>
    </row>
    <row r="111" spans="1:8" s="71" customFormat="1" ht="78.75" outlineLevel="2" x14ac:dyDescent="0.25">
      <c r="A111" s="68" t="s">
        <v>131</v>
      </c>
      <c r="B111" s="68" t="s">
        <v>2739</v>
      </c>
      <c r="C111" s="69" t="s">
        <v>1985</v>
      </c>
      <c r="D111" s="68" t="s">
        <v>106</v>
      </c>
      <c r="E111" s="70">
        <f>'ARQ - BLOCO DE SALAS'!F57</f>
        <v>4919.7700000000004</v>
      </c>
      <c r="F111" s="201">
        <v>26.04</v>
      </c>
      <c r="G111" s="201">
        <f t="shared" si="28"/>
        <v>33.000492000000001</v>
      </c>
      <c r="H111" s="201">
        <f t="shared" si="29"/>
        <v>162354.82999999999</v>
      </c>
    </row>
    <row r="112" spans="1:8" ht="47.25" outlineLevel="2" x14ac:dyDescent="0.25">
      <c r="A112" s="68" t="s">
        <v>132</v>
      </c>
      <c r="B112" s="68" t="s">
        <v>2740</v>
      </c>
      <c r="C112" s="69" t="s">
        <v>2196</v>
      </c>
      <c r="D112" s="68" t="s">
        <v>106</v>
      </c>
      <c r="E112" s="70">
        <f>'ARQ - BLOCO DE SALAS'!E58</f>
        <v>1717</v>
      </c>
      <c r="F112" s="201">
        <v>3.76</v>
      </c>
      <c r="G112" s="201">
        <f t="shared" si="28"/>
        <v>4.7650480000000002</v>
      </c>
      <c r="H112" s="201">
        <f t="shared" si="29"/>
        <v>8181.58</v>
      </c>
    </row>
    <row r="113" spans="1:8" ht="63" outlineLevel="2" x14ac:dyDescent="0.25">
      <c r="A113" s="68" t="s">
        <v>133</v>
      </c>
      <c r="B113" s="68" t="s">
        <v>2741</v>
      </c>
      <c r="C113" s="69" t="s">
        <v>1984</v>
      </c>
      <c r="D113" s="68" t="s">
        <v>106</v>
      </c>
      <c r="E113" s="70">
        <f>'ARQ - BLOCO DE SALAS'!E59</f>
        <v>1717</v>
      </c>
      <c r="F113" s="201">
        <v>33.15</v>
      </c>
      <c r="G113" s="201">
        <f t="shared" si="28"/>
        <v>42.010995000000001</v>
      </c>
      <c r="H113" s="201">
        <f t="shared" si="29"/>
        <v>72132.87</v>
      </c>
    </row>
    <row r="114" spans="1:8" s="71" customFormat="1" ht="78.75" outlineLevel="2" x14ac:dyDescent="0.25">
      <c r="A114" s="68" t="s">
        <v>146</v>
      </c>
      <c r="B114" s="68" t="s">
        <v>2742</v>
      </c>
      <c r="C114" s="69" t="s">
        <v>773</v>
      </c>
      <c r="D114" s="68" t="s">
        <v>106</v>
      </c>
      <c r="E114" s="70">
        <f>'ARQ - BLOCO DE SALAS'!F60</f>
        <v>220.72</v>
      </c>
      <c r="F114" s="201">
        <v>47.04</v>
      </c>
      <c r="G114" s="201">
        <f>F114*(1+$E$2)</f>
        <v>59.613792000000004</v>
      </c>
      <c r="H114" s="201">
        <f t="shared" si="29"/>
        <v>13157.95</v>
      </c>
    </row>
    <row r="115" spans="1:8" s="71" customFormat="1" ht="47.25" outlineLevel="2" x14ac:dyDescent="0.25">
      <c r="A115" s="68" t="s">
        <v>287</v>
      </c>
      <c r="B115" s="68" t="s">
        <v>772</v>
      </c>
      <c r="C115" s="69" t="s">
        <v>2743</v>
      </c>
      <c r="D115" s="68" t="s">
        <v>106</v>
      </c>
      <c r="E115" s="70">
        <f>'ARQ - BLOCO DE SALAS'!E61+'ARQ - BLOCO DE SALAS'!E62</f>
        <v>1134.3399999999999</v>
      </c>
      <c r="F115" s="201">
        <v>165.09</v>
      </c>
      <c r="G115" s="201">
        <f t="shared" si="28"/>
        <v>209.21855700000003</v>
      </c>
      <c r="H115" s="201">
        <f t="shared" si="29"/>
        <v>237324.97</v>
      </c>
    </row>
    <row r="116" spans="1:8" s="71" customFormat="1" ht="63" outlineLevel="2" x14ac:dyDescent="0.25">
      <c r="A116" s="68" t="s">
        <v>307</v>
      </c>
      <c r="B116" s="68" t="s">
        <v>2744</v>
      </c>
      <c r="C116" s="69" t="s">
        <v>781</v>
      </c>
      <c r="D116" s="68" t="s">
        <v>106</v>
      </c>
      <c r="E116" s="70">
        <f>'ARQ - BLOCO DE SALAS'!E63</f>
        <v>353.24</v>
      </c>
      <c r="F116" s="201">
        <v>165.09</v>
      </c>
      <c r="G116" s="201">
        <f t="shared" si="28"/>
        <v>209.21855700000003</v>
      </c>
      <c r="H116" s="201">
        <f t="shared" si="29"/>
        <v>73904.36</v>
      </c>
    </row>
    <row r="117" spans="1:8" s="71" customFormat="1" ht="31.5" outlineLevel="2" x14ac:dyDescent="0.25">
      <c r="A117" s="68" t="s">
        <v>308</v>
      </c>
      <c r="B117" s="68" t="s">
        <v>2745</v>
      </c>
      <c r="C117" s="69" t="s">
        <v>774</v>
      </c>
      <c r="D117" s="68" t="s">
        <v>106</v>
      </c>
      <c r="E117" s="70">
        <f>'ARQ - BLOCO DE SALAS'!F64</f>
        <v>526.03</v>
      </c>
      <c r="F117" s="201">
        <v>21.8</v>
      </c>
      <c r="G117" s="201">
        <f t="shared" si="28"/>
        <v>27.627140000000004</v>
      </c>
      <c r="H117" s="201">
        <f t="shared" si="29"/>
        <v>14532.7</v>
      </c>
    </row>
    <row r="118" spans="1:8" s="71" customFormat="1" outlineLevel="1" x14ac:dyDescent="0.25">
      <c r="A118" s="79"/>
      <c r="B118" s="79"/>
      <c r="C118" s="80" t="s">
        <v>14</v>
      </c>
      <c r="D118" s="79"/>
      <c r="E118" s="81"/>
      <c r="F118" s="203"/>
      <c r="G118" s="218"/>
      <c r="H118" s="218">
        <f>SUM(H110:H117)</f>
        <v>597550.40999999992</v>
      </c>
    </row>
    <row r="119" spans="1:8" s="71" customFormat="1" outlineLevel="1" x14ac:dyDescent="0.25">
      <c r="A119" s="173" t="s">
        <v>193</v>
      </c>
      <c r="B119" s="173"/>
      <c r="C119" s="174" t="s">
        <v>11</v>
      </c>
      <c r="D119" s="173"/>
      <c r="E119" s="176"/>
      <c r="F119" s="206"/>
      <c r="G119" s="219"/>
      <c r="H119" s="206"/>
    </row>
    <row r="120" spans="1:8" s="71" customFormat="1" ht="47.25" outlineLevel="2" x14ac:dyDescent="0.25">
      <c r="A120" s="68" t="s">
        <v>115</v>
      </c>
      <c r="B120" s="68" t="s">
        <v>2746</v>
      </c>
      <c r="C120" s="69" t="s">
        <v>775</v>
      </c>
      <c r="D120" s="68" t="s">
        <v>106</v>
      </c>
      <c r="E120" s="70">
        <f>'ARQ - BLOCO DE SALAS'!F67</f>
        <v>1976.65</v>
      </c>
      <c r="F120" s="201">
        <v>73.47</v>
      </c>
      <c r="G120" s="201">
        <f t="shared" ref="G120:G121" si="30">F120*(1+$E$2)</f>
        <v>93.108530999999999</v>
      </c>
      <c r="H120" s="201">
        <f t="shared" ref="H120:H121" si="31">TRUNC((G120*E120),2)</f>
        <v>184042.97</v>
      </c>
    </row>
    <row r="121" spans="1:8" s="71" customFormat="1" ht="47.25" outlineLevel="2" x14ac:dyDescent="0.25">
      <c r="A121" s="68" t="s">
        <v>116</v>
      </c>
      <c r="B121" s="68" t="s">
        <v>2674</v>
      </c>
      <c r="C121" s="69" t="s">
        <v>2675</v>
      </c>
      <c r="D121" s="68" t="s">
        <v>99</v>
      </c>
      <c r="E121" s="70">
        <f>'ARQ - BLOCO DE SALAS'!F68</f>
        <v>31.1</v>
      </c>
      <c r="F121" s="201">
        <v>10.65</v>
      </c>
      <c r="G121" s="201">
        <f t="shared" si="30"/>
        <v>13.496745000000001</v>
      </c>
      <c r="H121" s="201">
        <f t="shared" si="31"/>
        <v>419.74</v>
      </c>
    </row>
    <row r="122" spans="1:8" s="71" customFormat="1" outlineLevel="1" x14ac:dyDescent="0.25">
      <c r="A122" s="122"/>
      <c r="B122" s="79"/>
      <c r="C122" s="80" t="s">
        <v>14</v>
      </c>
      <c r="D122" s="79"/>
      <c r="E122" s="81"/>
      <c r="F122" s="203"/>
      <c r="G122" s="218"/>
      <c r="H122" s="218">
        <f>SUM(H120:H121)</f>
        <v>184462.71</v>
      </c>
    </row>
    <row r="123" spans="1:8" s="71" customFormat="1" outlineLevel="1" x14ac:dyDescent="0.25">
      <c r="A123" s="173" t="s">
        <v>141</v>
      </c>
      <c r="B123" s="173"/>
      <c r="C123" s="174" t="s">
        <v>778</v>
      </c>
      <c r="D123" s="173"/>
      <c r="E123" s="176"/>
      <c r="F123" s="206"/>
      <c r="G123" s="219"/>
      <c r="H123" s="206"/>
    </row>
    <row r="124" spans="1:8" s="71" customFormat="1" ht="31.5" outlineLevel="2" x14ac:dyDescent="0.25">
      <c r="A124" s="68" t="s">
        <v>117</v>
      </c>
      <c r="B124" s="115" t="s">
        <v>2747</v>
      </c>
      <c r="C124" s="116" t="s">
        <v>2748</v>
      </c>
      <c r="D124" s="68" t="s">
        <v>106</v>
      </c>
      <c r="E124" s="70">
        <f>'ARQ - BLOCO DE SALAS'!F77</f>
        <v>1916.87</v>
      </c>
      <c r="F124" s="221">
        <v>7.8</v>
      </c>
      <c r="G124" s="201">
        <f t="shared" ref="G124:G131" si="32">F124*(1+$E$2)</f>
        <v>9.8849400000000003</v>
      </c>
      <c r="H124" s="201">
        <f t="shared" ref="H124:H131" si="33">TRUNC((G124*E124),2)</f>
        <v>18948.14</v>
      </c>
    </row>
    <row r="125" spans="1:8" ht="31.5" outlineLevel="2" x14ac:dyDescent="0.25">
      <c r="A125" s="68" t="s">
        <v>119</v>
      </c>
      <c r="B125" s="115" t="s">
        <v>2749</v>
      </c>
      <c r="C125" s="116" t="s">
        <v>777</v>
      </c>
      <c r="D125" s="68" t="s">
        <v>106</v>
      </c>
      <c r="E125" s="70">
        <f>'ARQ - BLOCO DE SALAS'!F78</f>
        <v>1916.87</v>
      </c>
      <c r="F125" s="221">
        <v>8.31</v>
      </c>
      <c r="G125" s="201">
        <f t="shared" si="32"/>
        <v>10.531263000000001</v>
      </c>
      <c r="H125" s="201">
        <f t="shared" si="33"/>
        <v>20187.060000000001</v>
      </c>
    </row>
    <row r="126" spans="1:8" ht="31.5" outlineLevel="2" x14ac:dyDescent="0.25">
      <c r="A126" s="68" t="s">
        <v>142</v>
      </c>
      <c r="B126" s="68" t="s">
        <v>2750</v>
      </c>
      <c r="C126" s="69" t="s">
        <v>2201</v>
      </c>
      <c r="D126" s="68" t="s">
        <v>106</v>
      </c>
      <c r="E126" s="70">
        <f>'ARQ - BLOCO DE SALAS'!E79</f>
        <v>1717</v>
      </c>
      <c r="F126" s="201">
        <v>18.760000000000002</v>
      </c>
      <c r="G126" s="201">
        <f t="shared" ref="G126" si="34">F126*(1+$E$2)</f>
        <v>23.774548000000003</v>
      </c>
      <c r="H126" s="201">
        <f t="shared" ref="H126" si="35">TRUNC((G126*E126),2)</f>
        <v>40820.89</v>
      </c>
    </row>
    <row r="127" spans="1:8" ht="31.5" outlineLevel="2" x14ac:dyDescent="0.25">
      <c r="A127" s="68" t="s">
        <v>143</v>
      </c>
      <c r="B127" s="68" t="s">
        <v>2751</v>
      </c>
      <c r="C127" s="69" t="s">
        <v>1900</v>
      </c>
      <c r="D127" s="68" t="s">
        <v>106</v>
      </c>
      <c r="E127" s="70">
        <f>'ARQ - BLOCO DE SALAS'!E80</f>
        <v>1717</v>
      </c>
      <c r="F127" s="201">
        <v>11.68</v>
      </c>
      <c r="G127" s="201">
        <f t="shared" si="32"/>
        <v>14.802064000000001</v>
      </c>
      <c r="H127" s="201">
        <f t="shared" si="33"/>
        <v>25415.14</v>
      </c>
    </row>
    <row r="128" spans="1:8" s="71" customFormat="1" ht="31.5" outlineLevel="2" x14ac:dyDescent="0.25">
      <c r="A128" s="68" t="s">
        <v>144</v>
      </c>
      <c r="B128" s="115" t="s">
        <v>2752</v>
      </c>
      <c r="C128" s="116" t="s">
        <v>825</v>
      </c>
      <c r="D128" s="68" t="s">
        <v>106</v>
      </c>
      <c r="E128" s="70">
        <f>'ARQ - BLOCO DE SALAS'!F81</f>
        <v>1004.74</v>
      </c>
      <c r="F128" s="221">
        <v>1.56</v>
      </c>
      <c r="G128" s="201">
        <f t="shared" si="32"/>
        <v>1.9769880000000002</v>
      </c>
      <c r="H128" s="201">
        <f t="shared" si="33"/>
        <v>1986.35</v>
      </c>
    </row>
    <row r="129" spans="1:8" ht="31.5" outlineLevel="2" x14ac:dyDescent="0.25">
      <c r="A129" s="68" t="s">
        <v>179</v>
      </c>
      <c r="B129" s="68" t="s">
        <v>2082</v>
      </c>
      <c r="C129" s="69" t="s">
        <v>2753</v>
      </c>
      <c r="D129" s="68" t="s">
        <v>106</v>
      </c>
      <c r="E129" s="70">
        <f>'ARQ - BLOCO DE SALAS'!F81</f>
        <v>1004.74</v>
      </c>
      <c r="F129" s="201">
        <v>13.06</v>
      </c>
      <c r="G129" s="201">
        <f t="shared" ref="G129" si="36">F129*(1+$E$2)</f>
        <v>16.550938000000002</v>
      </c>
      <c r="H129" s="201">
        <f t="shared" ref="H129" si="37">TRUNC((G129*E129),2)</f>
        <v>16629.38</v>
      </c>
    </row>
    <row r="130" spans="1:8" ht="31.5" outlineLevel="2" x14ac:dyDescent="0.25">
      <c r="A130" s="68" t="s">
        <v>183</v>
      </c>
      <c r="B130" s="115" t="s">
        <v>2754</v>
      </c>
      <c r="C130" s="116" t="s">
        <v>780</v>
      </c>
      <c r="D130" s="68" t="s">
        <v>106</v>
      </c>
      <c r="E130" s="70">
        <f>'ARQ - BLOCO DE SALAS'!F82</f>
        <v>1168.6400000000001</v>
      </c>
      <c r="F130" s="221">
        <v>10.43</v>
      </c>
      <c r="G130" s="201">
        <f t="shared" si="32"/>
        <v>13.217939000000001</v>
      </c>
      <c r="H130" s="201">
        <f t="shared" si="33"/>
        <v>15447.01</v>
      </c>
    </row>
    <row r="131" spans="1:8" s="278" customFormat="1" ht="31.5" outlineLevel="2" x14ac:dyDescent="0.25">
      <c r="A131" s="68" t="s">
        <v>184</v>
      </c>
      <c r="B131" s="226">
        <v>95468</v>
      </c>
      <c r="C131" s="246" t="s">
        <v>3064</v>
      </c>
      <c r="D131" s="226" t="s">
        <v>106</v>
      </c>
      <c r="E131" s="70">
        <f>'ARQ - BLOCO DE SALAS'!F43</f>
        <v>122.12</v>
      </c>
      <c r="F131" s="221">
        <v>30.79</v>
      </c>
      <c r="G131" s="221">
        <f t="shared" si="32"/>
        <v>39.020167000000001</v>
      </c>
      <c r="H131" s="221">
        <f t="shared" si="33"/>
        <v>4765.1400000000003</v>
      </c>
    </row>
    <row r="132" spans="1:8" s="278" customFormat="1" outlineLevel="2" x14ac:dyDescent="0.25">
      <c r="A132" s="68" t="s">
        <v>185</v>
      </c>
      <c r="B132" s="226" t="s">
        <v>2102</v>
      </c>
      <c r="C132" s="246" t="s">
        <v>2103</v>
      </c>
      <c r="D132" s="226" t="s">
        <v>106</v>
      </c>
      <c r="E132" s="70">
        <f>'ARQ - BLOCO DE SALAS'!F83</f>
        <v>140.72</v>
      </c>
      <c r="F132" s="221">
        <v>12.45</v>
      </c>
      <c r="G132" s="221">
        <f>F132*(1+$E$2)</f>
        <v>15.777884999999999</v>
      </c>
      <c r="H132" s="221">
        <f>TRUNC((G132*E132),2)</f>
        <v>2220.2600000000002</v>
      </c>
    </row>
    <row r="133" spans="1:8" outlineLevel="1" x14ac:dyDescent="0.25">
      <c r="A133" s="79"/>
      <c r="B133" s="79"/>
      <c r="C133" s="80" t="s">
        <v>14</v>
      </c>
      <c r="D133" s="79"/>
      <c r="E133" s="81"/>
      <c r="F133" s="203"/>
      <c r="G133" s="218"/>
      <c r="H133" s="218">
        <f>SUM(H124:H132)</f>
        <v>146419.37000000002</v>
      </c>
    </row>
    <row r="134" spans="1:8" outlineLevel="1" x14ac:dyDescent="0.25">
      <c r="A134" s="173" t="s">
        <v>145</v>
      </c>
      <c r="B134" s="173"/>
      <c r="C134" s="174" t="s">
        <v>87</v>
      </c>
      <c r="D134" s="173"/>
      <c r="E134" s="176"/>
      <c r="F134" s="206"/>
      <c r="G134" s="219"/>
      <c r="H134" s="206"/>
    </row>
    <row r="135" spans="1:8" ht="31.5" outlineLevel="2" x14ac:dyDescent="0.25">
      <c r="A135" s="226" t="s">
        <v>120</v>
      </c>
      <c r="B135" s="226" t="s">
        <v>782</v>
      </c>
      <c r="C135" s="246" t="s">
        <v>2755</v>
      </c>
      <c r="D135" s="226" t="s">
        <v>106</v>
      </c>
      <c r="E135" s="70">
        <f>'ARQ - BLOCO DE SALAS'!F88</f>
        <v>64.849999999999994</v>
      </c>
      <c r="F135" s="221">
        <v>50.57</v>
      </c>
      <c r="G135" s="221">
        <f t="shared" ref="G135" si="38">F135*(1+$E$2)</f>
        <v>64.087361000000001</v>
      </c>
      <c r="H135" s="221">
        <f t="shared" ref="H135:H136" si="39">TRUNC((G135*E135),2)</f>
        <v>4156.0600000000004</v>
      </c>
    </row>
    <row r="136" spans="1:8" ht="47.25" outlineLevel="2" x14ac:dyDescent="0.25">
      <c r="A136" s="226" t="s">
        <v>2216</v>
      </c>
      <c r="B136" s="226" t="s">
        <v>1574</v>
      </c>
      <c r="C136" s="246" t="s">
        <v>1575</v>
      </c>
      <c r="D136" s="226" t="s">
        <v>106</v>
      </c>
      <c r="E136" s="70">
        <f>'ARQ - BLOCO DE SALAS'!F89</f>
        <v>30.25</v>
      </c>
      <c r="F136" s="221">
        <v>568.26</v>
      </c>
      <c r="G136" s="221">
        <f t="shared" ref="G136" si="40">F136*(1+$E$2)</f>
        <v>720.15589800000009</v>
      </c>
      <c r="H136" s="221">
        <f t="shared" si="39"/>
        <v>21784.71</v>
      </c>
    </row>
    <row r="137" spans="1:8" outlineLevel="1" x14ac:dyDescent="0.25">
      <c r="A137" s="122"/>
      <c r="B137" s="79"/>
      <c r="C137" s="80" t="s">
        <v>14</v>
      </c>
      <c r="D137" s="79"/>
      <c r="E137" s="81"/>
      <c r="F137" s="203"/>
      <c r="G137" s="218"/>
      <c r="H137" s="218">
        <f>SUM(H135:H136)</f>
        <v>25940.77</v>
      </c>
    </row>
    <row r="138" spans="1:8" outlineLevel="1" x14ac:dyDescent="0.25">
      <c r="A138" s="170" t="s">
        <v>196</v>
      </c>
      <c r="B138" s="170"/>
      <c r="C138" s="171" t="s">
        <v>136</v>
      </c>
      <c r="D138" s="170"/>
      <c r="E138" s="172"/>
      <c r="F138" s="200"/>
      <c r="G138" s="216"/>
      <c r="H138" s="216"/>
    </row>
    <row r="139" spans="1:8" ht="31.5" outlineLevel="2" x14ac:dyDescent="0.25">
      <c r="A139" s="68" t="s">
        <v>135</v>
      </c>
      <c r="B139" s="68" t="s">
        <v>791</v>
      </c>
      <c r="C139" s="69" t="s">
        <v>792</v>
      </c>
      <c r="D139" s="68" t="s">
        <v>56</v>
      </c>
      <c r="E139" s="70">
        <f>'ARQ - BLOCO DE SALAS'!F117+'ARQ - BLOCO DE SALAS'!F118</f>
        <v>85</v>
      </c>
      <c r="F139" s="201">
        <v>140</v>
      </c>
      <c r="G139" s="201">
        <f t="shared" ref="G139:G142" si="41">F139*(1+$E$2)</f>
        <v>177.42200000000003</v>
      </c>
      <c r="H139" s="201">
        <f t="shared" ref="H139:H142" si="42">TRUNC((G139*E139),2)</f>
        <v>15080.87</v>
      </c>
    </row>
    <row r="140" spans="1:8" outlineLevel="2" x14ac:dyDescent="0.25">
      <c r="A140" s="68" t="s">
        <v>3343</v>
      </c>
      <c r="B140" s="115" t="s">
        <v>2599</v>
      </c>
      <c r="C140" s="116" t="s">
        <v>2600</v>
      </c>
      <c r="D140" s="115" t="s">
        <v>56</v>
      </c>
      <c r="E140" s="445">
        <f>'ARQ - BLOCO DE SALAS'!F119</f>
        <v>1</v>
      </c>
      <c r="F140" s="207">
        <v>3545</v>
      </c>
      <c r="G140" s="201">
        <f t="shared" ref="G140" si="43">F140*(1+$E$2)</f>
        <v>4492.5785000000005</v>
      </c>
      <c r="H140" s="201">
        <f t="shared" ref="H140" si="44">TRUNC((G140*E140),2)</f>
        <v>4492.57</v>
      </c>
    </row>
    <row r="141" spans="1:8" ht="31.5" outlineLevel="2" x14ac:dyDescent="0.25">
      <c r="A141" s="68" t="s">
        <v>3344</v>
      </c>
      <c r="B141" s="115" t="s">
        <v>807</v>
      </c>
      <c r="C141" s="116" t="s">
        <v>2756</v>
      </c>
      <c r="D141" s="115" t="s">
        <v>106</v>
      </c>
      <c r="E141" s="445">
        <f>'ARQ - BLOCO DE SALAS'!F120+'ARQ - BLOCO DE SALAS'!F121</f>
        <v>170.44</v>
      </c>
      <c r="F141" s="207">
        <v>171.54</v>
      </c>
      <c r="G141" s="201">
        <f t="shared" si="41"/>
        <v>217.392642</v>
      </c>
      <c r="H141" s="201">
        <f t="shared" si="42"/>
        <v>37052.400000000001</v>
      </c>
    </row>
    <row r="142" spans="1:8" ht="31.5" outlineLevel="2" x14ac:dyDescent="0.25">
      <c r="A142" s="68" t="s">
        <v>2604</v>
      </c>
      <c r="B142" s="68" t="s">
        <v>793</v>
      </c>
      <c r="C142" s="69" t="s">
        <v>794</v>
      </c>
      <c r="D142" s="68" t="s">
        <v>106</v>
      </c>
      <c r="E142" s="70">
        <f>'ARQ - BLOCO DE SALAS'!F122</f>
        <v>42.44</v>
      </c>
      <c r="F142" s="201">
        <v>431.15</v>
      </c>
      <c r="G142" s="201">
        <f t="shared" si="41"/>
        <v>546.39639499999998</v>
      </c>
      <c r="H142" s="201">
        <f t="shared" si="42"/>
        <v>23189.06</v>
      </c>
    </row>
    <row r="143" spans="1:8" outlineLevel="1" x14ac:dyDescent="0.25">
      <c r="A143" s="79"/>
      <c r="B143" s="79"/>
      <c r="C143" s="80" t="s">
        <v>14</v>
      </c>
      <c r="D143" s="79"/>
      <c r="E143" s="81"/>
      <c r="F143" s="203"/>
      <c r="G143" s="218"/>
      <c r="H143" s="218">
        <f>SUM(H139:H142)</f>
        <v>79814.900000000009</v>
      </c>
    </row>
    <row r="144" spans="1:8" outlineLevel="1" x14ac:dyDescent="0.25">
      <c r="A144" s="173" t="s">
        <v>197</v>
      </c>
      <c r="B144" s="173"/>
      <c r="C144" s="174" t="s">
        <v>81</v>
      </c>
      <c r="D144" s="173"/>
      <c r="E144" s="176"/>
      <c r="F144" s="206"/>
      <c r="G144" s="219"/>
      <c r="H144" s="206"/>
    </row>
    <row r="145" spans="1:8" ht="47.25" outlineLevel="2" x14ac:dyDescent="0.25">
      <c r="A145" s="68" t="s">
        <v>311</v>
      </c>
      <c r="B145" s="68" t="s">
        <v>809</v>
      </c>
      <c r="C145" s="69" t="s">
        <v>808</v>
      </c>
      <c r="D145" s="68" t="s">
        <v>56</v>
      </c>
      <c r="E145" s="70">
        <f>'ARQ - BLOCO DE SALAS'!F98</f>
        <v>1</v>
      </c>
      <c r="F145" s="201">
        <v>1706.56</v>
      </c>
      <c r="G145" s="201">
        <f t="shared" ref="G145:G156" si="45">F145*(1+$E$2)</f>
        <v>2162.7234880000001</v>
      </c>
      <c r="H145" s="201">
        <f t="shared" ref="H145:H157" si="46">TRUNC((G145*E145),2)</f>
        <v>2162.7199999999998</v>
      </c>
    </row>
    <row r="146" spans="1:8" ht="47.25" customHeight="1" outlineLevel="2" x14ac:dyDescent="0.25">
      <c r="A146" s="68" t="s">
        <v>351</v>
      </c>
      <c r="B146" s="68" t="s">
        <v>821</v>
      </c>
      <c r="C146" s="69" t="s">
        <v>822</v>
      </c>
      <c r="D146" s="68" t="s">
        <v>56</v>
      </c>
      <c r="E146" s="70">
        <f>'ARQ - BLOCO DE SALAS'!F99</f>
        <v>1</v>
      </c>
      <c r="F146" s="201">
        <v>6757.2</v>
      </c>
      <c r="G146" s="201">
        <f t="shared" si="45"/>
        <v>8563.3995599999998</v>
      </c>
      <c r="H146" s="201">
        <f t="shared" si="46"/>
        <v>8563.39</v>
      </c>
    </row>
    <row r="147" spans="1:8" s="71" customFormat="1" ht="31.5" outlineLevel="2" x14ac:dyDescent="0.25">
      <c r="A147" s="68" t="s">
        <v>983</v>
      </c>
      <c r="B147" s="68" t="s">
        <v>810</v>
      </c>
      <c r="C147" s="69" t="s">
        <v>811</v>
      </c>
      <c r="D147" s="68" t="s">
        <v>56</v>
      </c>
      <c r="E147" s="70">
        <f>'ARQ - BLOCO DE SALAS'!F100</f>
        <v>22</v>
      </c>
      <c r="F147" s="201">
        <v>1500</v>
      </c>
      <c r="G147" s="201">
        <f t="shared" si="45"/>
        <v>1900.95</v>
      </c>
      <c r="H147" s="201">
        <f t="shared" si="46"/>
        <v>41820.9</v>
      </c>
    </row>
    <row r="148" spans="1:8" ht="31.5" outlineLevel="2" x14ac:dyDescent="0.25">
      <c r="A148" s="68" t="s">
        <v>2217</v>
      </c>
      <c r="B148" s="68" t="s">
        <v>2757</v>
      </c>
      <c r="C148" s="69" t="s">
        <v>783</v>
      </c>
      <c r="D148" s="68" t="s">
        <v>106</v>
      </c>
      <c r="E148" s="70">
        <f>'ARQ - BLOCO DE SALAS'!F101</f>
        <v>3.96</v>
      </c>
      <c r="F148" s="201">
        <v>359.1</v>
      </c>
      <c r="G148" s="201">
        <f t="shared" si="45"/>
        <v>455.08743000000004</v>
      </c>
      <c r="H148" s="201">
        <f t="shared" si="46"/>
        <v>1802.14</v>
      </c>
    </row>
    <row r="149" spans="1:8" ht="63" outlineLevel="2" x14ac:dyDescent="0.25">
      <c r="A149" s="68" t="s">
        <v>984</v>
      </c>
      <c r="B149" s="68" t="s">
        <v>795</v>
      </c>
      <c r="C149" s="246" t="s">
        <v>796</v>
      </c>
      <c r="D149" s="68" t="s">
        <v>106</v>
      </c>
      <c r="E149" s="70">
        <f>'ARQ - BLOCO DE SALAS'!F102</f>
        <v>35.04</v>
      </c>
      <c r="F149" s="201">
        <v>248.83</v>
      </c>
      <c r="G149" s="201">
        <f t="shared" si="45"/>
        <v>315.34225900000001</v>
      </c>
      <c r="H149" s="201">
        <f t="shared" si="46"/>
        <v>11049.59</v>
      </c>
    </row>
    <row r="150" spans="1:8" s="71" customFormat="1" ht="47.25" outlineLevel="2" x14ac:dyDescent="0.25">
      <c r="A150" s="68" t="s">
        <v>359</v>
      </c>
      <c r="B150" s="68" t="s">
        <v>880</v>
      </c>
      <c r="C150" s="69" t="s">
        <v>2667</v>
      </c>
      <c r="D150" s="68" t="s">
        <v>56</v>
      </c>
      <c r="E150" s="70">
        <f>'ARQ - BLOCO DE SALAS'!F103</f>
        <v>1</v>
      </c>
      <c r="F150" s="201">
        <v>3800</v>
      </c>
      <c r="G150" s="201">
        <f t="shared" si="45"/>
        <v>4815.7400000000007</v>
      </c>
      <c r="H150" s="201">
        <f t="shared" si="46"/>
        <v>4815.74</v>
      </c>
    </row>
    <row r="151" spans="1:8" s="71" customFormat="1" ht="31.5" outlineLevel="2" x14ac:dyDescent="0.25">
      <c r="A151" s="68" t="s">
        <v>360</v>
      </c>
      <c r="B151" s="68" t="s">
        <v>2581</v>
      </c>
      <c r="C151" s="69" t="s">
        <v>2582</v>
      </c>
      <c r="D151" s="68" t="s">
        <v>56</v>
      </c>
      <c r="E151" s="70">
        <f>'ARQ - BLOCO DE SALAS'!F104</f>
        <v>3</v>
      </c>
      <c r="F151" s="201">
        <v>1400</v>
      </c>
      <c r="G151" s="201">
        <f>F151*(1+$E$3)</f>
        <v>1629.4599999999998</v>
      </c>
      <c r="H151" s="201">
        <f t="shared" si="46"/>
        <v>4888.38</v>
      </c>
    </row>
    <row r="152" spans="1:8" s="71" customFormat="1" ht="31.5" outlineLevel="2" x14ac:dyDescent="0.25">
      <c r="A152" s="68" t="s">
        <v>361</v>
      </c>
      <c r="B152" s="68" t="s">
        <v>1908</v>
      </c>
      <c r="C152" s="69" t="s">
        <v>1909</v>
      </c>
      <c r="D152" s="68" t="s">
        <v>56</v>
      </c>
      <c r="E152" s="70">
        <f>'ARQ - BLOCO DE SALAS'!F105</f>
        <v>6</v>
      </c>
      <c r="F152" s="201">
        <v>172.38</v>
      </c>
      <c r="G152" s="201">
        <f t="shared" si="45"/>
        <v>218.45717400000001</v>
      </c>
      <c r="H152" s="201">
        <f t="shared" si="46"/>
        <v>1310.74</v>
      </c>
    </row>
    <row r="153" spans="1:8" s="71" customFormat="1" ht="31.5" outlineLevel="2" x14ac:dyDescent="0.25">
      <c r="A153" s="68" t="s">
        <v>362</v>
      </c>
      <c r="B153" s="68" t="s">
        <v>799</v>
      </c>
      <c r="C153" s="69" t="s">
        <v>800</v>
      </c>
      <c r="D153" s="68" t="s">
        <v>56</v>
      </c>
      <c r="E153" s="70">
        <f>'ARQ - BLOCO DE SALAS'!F106</f>
        <v>6</v>
      </c>
      <c r="F153" s="201">
        <v>212.79</v>
      </c>
      <c r="G153" s="201">
        <f t="shared" si="45"/>
        <v>269.668767</v>
      </c>
      <c r="H153" s="201">
        <f t="shared" si="46"/>
        <v>1618.01</v>
      </c>
    </row>
    <row r="154" spans="1:8" s="71" customFormat="1" ht="47.25" outlineLevel="2" x14ac:dyDescent="0.25">
      <c r="A154" s="68" t="s">
        <v>363</v>
      </c>
      <c r="B154" s="115" t="s">
        <v>952</v>
      </c>
      <c r="C154" s="116" t="s">
        <v>2759</v>
      </c>
      <c r="D154" s="68" t="s">
        <v>56</v>
      </c>
      <c r="E154" s="70">
        <f>'ARQ - BLOCO DE SALAS'!F84</f>
        <v>1</v>
      </c>
      <c r="F154" s="201">
        <v>2250</v>
      </c>
      <c r="G154" s="201">
        <f t="shared" si="45"/>
        <v>2851.4250000000002</v>
      </c>
      <c r="H154" s="201">
        <f t="shared" si="46"/>
        <v>2851.42</v>
      </c>
    </row>
    <row r="155" spans="1:8" s="71" customFormat="1" ht="47.25" outlineLevel="2" x14ac:dyDescent="0.25">
      <c r="A155" s="68" t="s">
        <v>2218</v>
      </c>
      <c r="B155" s="115" t="s">
        <v>3094</v>
      </c>
      <c r="C155" s="116" t="s">
        <v>3093</v>
      </c>
      <c r="D155" s="68" t="s">
        <v>56</v>
      </c>
      <c r="E155" s="70">
        <f>'ARQ - BLOCO DE SALAS'!F112</f>
        <v>11</v>
      </c>
      <c r="F155" s="201">
        <v>180</v>
      </c>
      <c r="G155" s="201">
        <f t="shared" si="45"/>
        <v>228.114</v>
      </c>
      <c r="H155" s="201">
        <f t="shared" si="46"/>
        <v>2509.25</v>
      </c>
    </row>
    <row r="156" spans="1:8" s="71" customFormat="1" ht="31.5" outlineLevel="2" x14ac:dyDescent="0.25">
      <c r="A156" s="68" t="s">
        <v>2219</v>
      </c>
      <c r="B156" s="68" t="s">
        <v>953</v>
      </c>
      <c r="C156" s="69" t="s">
        <v>954</v>
      </c>
      <c r="D156" s="68" t="s">
        <v>56</v>
      </c>
      <c r="E156" s="70">
        <f>'ARQ - BLOCO DE SALAS'!F113</f>
        <v>1</v>
      </c>
      <c r="F156" s="221">
        <v>298.56</v>
      </c>
      <c r="G156" s="201">
        <f t="shared" si="45"/>
        <v>378.36508800000001</v>
      </c>
      <c r="H156" s="201">
        <f t="shared" si="46"/>
        <v>378.36</v>
      </c>
    </row>
    <row r="157" spans="1:8" s="71" customFormat="1" ht="31.5" outlineLevel="2" x14ac:dyDescent="0.25">
      <c r="A157" s="68" t="s">
        <v>3144</v>
      </c>
      <c r="B157" s="68" t="s">
        <v>3142</v>
      </c>
      <c r="C157" s="69" t="s">
        <v>3143</v>
      </c>
      <c r="D157" s="68" t="s">
        <v>72</v>
      </c>
      <c r="E157" s="70">
        <f>'ARQ - BLOCO DE SALAS'!F114</f>
        <v>77.111999999999995</v>
      </c>
      <c r="F157" s="221">
        <v>324.73</v>
      </c>
      <c r="G157" s="201">
        <f t="shared" ref="G157" si="47">F157*(1+$E$2)</f>
        <v>411.53032900000005</v>
      </c>
      <c r="H157" s="201">
        <f t="shared" si="46"/>
        <v>31733.919999999998</v>
      </c>
    </row>
    <row r="158" spans="1:8" outlineLevel="1" x14ac:dyDescent="0.25">
      <c r="A158" s="122"/>
      <c r="B158" s="79"/>
      <c r="C158" s="80" t="s">
        <v>14</v>
      </c>
      <c r="D158" s="79"/>
      <c r="E158" s="81"/>
      <c r="F158" s="203"/>
      <c r="G158" s="218"/>
      <c r="H158" s="218">
        <f>SUM(H145:H157)</f>
        <v>115504.56000000001</v>
      </c>
    </row>
    <row r="159" spans="1:8" outlineLevel="1" x14ac:dyDescent="0.25">
      <c r="A159" s="173" t="s">
        <v>198</v>
      </c>
      <c r="B159" s="173"/>
      <c r="C159" s="174" t="s">
        <v>13</v>
      </c>
      <c r="D159" s="173"/>
      <c r="E159" s="176"/>
      <c r="F159" s="206"/>
      <c r="G159" s="219"/>
      <c r="H159" s="206"/>
    </row>
    <row r="160" spans="1:8" outlineLevel="2" x14ac:dyDescent="0.25">
      <c r="A160" s="68" t="s">
        <v>312</v>
      </c>
      <c r="B160" s="68" t="s">
        <v>3160</v>
      </c>
      <c r="C160" s="69" t="s">
        <v>3159</v>
      </c>
      <c r="D160" s="68" t="s">
        <v>159</v>
      </c>
      <c r="E160" s="70">
        <f>'ARQ - BLOCO DE SALAS'!F126</f>
        <v>187.79</v>
      </c>
      <c r="F160" s="201">
        <v>10.54</v>
      </c>
      <c r="G160" s="217">
        <f t="shared" ref="G160" si="48">F160*(1+$E$2)</f>
        <v>13.357341999999999</v>
      </c>
      <c r="H160" s="217">
        <f t="shared" ref="H160" si="49">TRUNC((G160*E160),2)</f>
        <v>2508.37</v>
      </c>
    </row>
    <row r="161" spans="1:8" outlineLevel="2" x14ac:dyDescent="0.25">
      <c r="A161" s="68" t="s">
        <v>3345</v>
      </c>
      <c r="B161" s="68" t="s">
        <v>3162</v>
      </c>
      <c r="C161" s="69" t="s">
        <v>3161</v>
      </c>
      <c r="D161" s="68" t="s">
        <v>159</v>
      </c>
      <c r="E161" s="70">
        <f>'ARQ - BLOCO DE SALAS'!F127</f>
        <v>1708.3</v>
      </c>
      <c r="F161" s="201">
        <v>5.69</v>
      </c>
      <c r="G161" s="217">
        <f t="shared" ref="G161" si="50">F161*(1+$E$2)</f>
        <v>7.2109370000000013</v>
      </c>
      <c r="H161" s="217">
        <f t="shared" ref="H161" si="51">TRUNC((G161*E161),2)</f>
        <v>12318.44</v>
      </c>
    </row>
    <row r="162" spans="1:8" outlineLevel="2" x14ac:dyDescent="0.25">
      <c r="A162" s="68" t="s">
        <v>3346</v>
      </c>
      <c r="B162" s="68">
        <v>9537</v>
      </c>
      <c r="C162" s="69" t="s">
        <v>785</v>
      </c>
      <c r="D162" s="68" t="s">
        <v>159</v>
      </c>
      <c r="E162" s="70">
        <f>'ARQ - BLOCO DE SALAS'!F128</f>
        <v>2077.9499999999998</v>
      </c>
      <c r="F162" s="201">
        <v>2.09</v>
      </c>
      <c r="G162" s="217">
        <f t="shared" ref="G162" si="52">F162*(1+$E$2)</f>
        <v>2.648657</v>
      </c>
      <c r="H162" s="217">
        <f t="shared" ref="H162" si="53">TRUNC((G162*E162),2)</f>
        <v>5503.77</v>
      </c>
    </row>
    <row r="163" spans="1:8" outlineLevel="1" x14ac:dyDescent="0.25">
      <c r="A163" s="122"/>
      <c r="B163" s="79"/>
      <c r="C163" s="80" t="s">
        <v>14</v>
      </c>
      <c r="D163" s="79"/>
      <c r="E163" s="81"/>
      <c r="F163" s="203"/>
      <c r="G163" s="218"/>
      <c r="H163" s="218">
        <f>SUM(H160:H162)</f>
        <v>20330.580000000002</v>
      </c>
    </row>
    <row r="164" spans="1:8" x14ac:dyDescent="0.25">
      <c r="A164" s="66"/>
      <c r="B164" s="66"/>
      <c r="C164" s="67" t="s">
        <v>591</v>
      </c>
      <c r="D164" s="66"/>
      <c r="E164" s="276"/>
      <c r="F164" s="204"/>
      <c r="G164" s="202"/>
      <c r="H164" s="204">
        <f>H31+H51+H59+H72+H79+H89+H100+H108+H118+H122+H133+H137+H143+H158+H163</f>
        <v>3611440.3800000004</v>
      </c>
    </row>
    <row r="165" spans="1:8" x14ac:dyDescent="0.25">
      <c r="A165" s="698" t="s">
        <v>620</v>
      </c>
      <c r="B165" s="698"/>
      <c r="C165" s="698"/>
      <c r="D165" s="698"/>
      <c r="E165" s="698"/>
      <c r="F165" s="698"/>
      <c r="G165" s="698"/>
      <c r="H165" s="698"/>
    </row>
    <row r="166" spans="1:8" outlineLevel="1" x14ac:dyDescent="0.25">
      <c r="A166" s="173" t="s">
        <v>164</v>
      </c>
      <c r="B166" s="173"/>
      <c r="C166" s="174" t="s">
        <v>512</v>
      </c>
      <c r="D166" s="173"/>
      <c r="E166" s="175"/>
      <c r="F166" s="205"/>
      <c r="G166" s="201"/>
      <c r="H166" s="206"/>
    </row>
    <row r="167" spans="1:8" outlineLevel="2" x14ac:dyDescent="0.25">
      <c r="A167" s="68" t="s">
        <v>3347</v>
      </c>
      <c r="B167" s="68" t="s">
        <v>640</v>
      </c>
      <c r="C167" s="69" t="s">
        <v>639</v>
      </c>
      <c r="D167" s="68" t="s">
        <v>273</v>
      </c>
      <c r="E167" s="70">
        <f>'EST - REFEITÓRIO 17_03'!I4</f>
        <v>211.22</v>
      </c>
      <c r="F167" s="201">
        <v>27.41</v>
      </c>
      <c r="G167" s="201">
        <f t="shared" ref="G167:G168" si="54">F167*(1+$E$2)</f>
        <v>34.736693000000002</v>
      </c>
      <c r="H167" s="201">
        <f t="shared" ref="H167:H168" si="55">TRUNC((G167*E167),2)</f>
        <v>7337.08</v>
      </c>
    </row>
    <row r="168" spans="1:8" ht="47.25" outlineLevel="2" x14ac:dyDescent="0.25">
      <c r="A168" s="68" t="s">
        <v>985</v>
      </c>
      <c r="B168" s="68" t="s">
        <v>155</v>
      </c>
      <c r="C168" s="69" t="s">
        <v>501</v>
      </c>
      <c r="D168" s="68" t="s">
        <v>273</v>
      </c>
      <c r="E168" s="70">
        <f>'EST - REFEITÓRIO 17_03'!I6</f>
        <v>211.22</v>
      </c>
      <c r="F168" s="201">
        <v>4.7699999999999996</v>
      </c>
      <c r="G168" s="201">
        <f t="shared" si="54"/>
        <v>6.0450210000000002</v>
      </c>
      <c r="H168" s="201">
        <f t="shared" si="55"/>
        <v>1276.82</v>
      </c>
    </row>
    <row r="169" spans="1:8" outlineLevel="1" x14ac:dyDescent="0.25">
      <c r="A169" s="79"/>
      <c r="B169" s="79"/>
      <c r="C169" s="80" t="s">
        <v>14</v>
      </c>
      <c r="D169" s="79"/>
      <c r="E169" s="81"/>
      <c r="F169" s="203"/>
      <c r="G169" s="203"/>
      <c r="H169" s="218">
        <f>SUM(H167:H168)</f>
        <v>8613.9</v>
      </c>
    </row>
    <row r="170" spans="1:8" outlineLevel="1" x14ac:dyDescent="0.25">
      <c r="A170" s="173" t="s">
        <v>165</v>
      </c>
      <c r="B170" s="173"/>
      <c r="C170" s="174" t="s">
        <v>156</v>
      </c>
      <c r="D170" s="173"/>
      <c r="E170" s="175"/>
      <c r="F170" s="205"/>
      <c r="G170" s="201"/>
      <c r="H170" s="206"/>
    </row>
    <row r="171" spans="1:8" ht="63" outlineLevel="2" x14ac:dyDescent="0.25">
      <c r="A171" s="68" t="s">
        <v>986</v>
      </c>
      <c r="B171" s="68" t="s">
        <v>2761</v>
      </c>
      <c r="C171" s="69" t="s">
        <v>633</v>
      </c>
      <c r="D171" s="68" t="s">
        <v>99</v>
      </c>
      <c r="E171" s="70">
        <f>'EST - REFEITÓRIO 17_03'!I10</f>
        <v>636</v>
      </c>
      <c r="F171" s="221">
        <v>67.56</v>
      </c>
      <c r="G171" s="201">
        <f t="shared" ref="G171" si="56">F171*(1+$E$2)</f>
        <v>85.618788000000009</v>
      </c>
      <c r="H171" s="201">
        <f t="shared" ref="H171:H187" si="57">TRUNC((G171*E171),2)</f>
        <v>54453.54</v>
      </c>
    </row>
    <row r="172" spans="1:8" ht="47.25" outlineLevel="2" x14ac:dyDescent="0.25">
      <c r="A172" s="68" t="s">
        <v>987</v>
      </c>
      <c r="B172" s="68" t="s">
        <v>2706</v>
      </c>
      <c r="C172" s="69" t="s">
        <v>502</v>
      </c>
      <c r="D172" s="68" t="s">
        <v>273</v>
      </c>
      <c r="E172" s="70">
        <f>'EST - REFEITÓRIO 17_03'!I11</f>
        <v>79.607000000000014</v>
      </c>
      <c r="F172" s="201">
        <v>10.44</v>
      </c>
      <c r="G172" s="201">
        <f t="shared" ref="G172:G187" si="58">F172*(1+$E$2)</f>
        <v>13.230612000000001</v>
      </c>
      <c r="H172" s="201">
        <f t="shared" si="57"/>
        <v>1053.24</v>
      </c>
    </row>
    <row r="173" spans="1:8" outlineLevel="2" x14ac:dyDescent="0.25">
      <c r="A173" s="68" t="s">
        <v>988</v>
      </c>
      <c r="B173" s="68" t="s">
        <v>2707</v>
      </c>
      <c r="C173" s="69" t="s">
        <v>503</v>
      </c>
      <c r="D173" s="226" t="s">
        <v>273</v>
      </c>
      <c r="E173" s="70">
        <f>'EST - REFEITÓRIO 17_03'!I12</f>
        <v>31.57</v>
      </c>
      <c r="F173" s="201">
        <v>54.9</v>
      </c>
      <c r="G173" s="201">
        <f t="shared" si="58"/>
        <v>69.574770000000001</v>
      </c>
      <c r="H173" s="201">
        <f t="shared" si="57"/>
        <v>2196.4699999999998</v>
      </c>
    </row>
    <row r="174" spans="1:8" ht="47.25" outlineLevel="2" x14ac:dyDescent="0.25">
      <c r="A174" s="68" t="s">
        <v>989</v>
      </c>
      <c r="B174" s="68" t="s">
        <v>2708</v>
      </c>
      <c r="C174" s="69" t="s">
        <v>504</v>
      </c>
      <c r="D174" s="68" t="s">
        <v>106</v>
      </c>
      <c r="E174" s="70">
        <f>'EST - REFEITÓRIO 17_03'!I15+'EST - REFEITÓRIO 17_03'!I16</f>
        <v>151.29500000000002</v>
      </c>
      <c r="F174" s="201">
        <v>4.18</v>
      </c>
      <c r="G174" s="201">
        <f t="shared" si="58"/>
        <v>5.2973140000000001</v>
      </c>
      <c r="H174" s="201">
        <f t="shared" si="57"/>
        <v>801.45</v>
      </c>
    </row>
    <row r="175" spans="1:8" ht="31.5" outlineLevel="2" x14ac:dyDescent="0.25">
      <c r="A175" s="68" t="s">
        <v>990</v>
      </c>
      <c r="B175" s="68" t="s">
        <v>2709</v>
      </c>
      <c r="C175" s="69" t="s">
        <v>505</v>
      </c>
      <c r="D175" s="226" t="s">
        <v>106</v>
      </c>
      <c r="E175" s="70">
        <f>'EST - REFEITÓRIO 17_03'!I17+'EST - REFEITÓRIO 17_03'!I18</f>
        <v>151.29500000000002</v>
      </c>
      <c r="F175" s="201">
        <v>19.12</v>
      </c>
      <c r="G175" s="201">
        <f t="shared" si="58"/>
        <v>24.230776000000002</v>
      </c>
      <c r="H175" s="201">
        <f t="shared" si="57"/>
        <v>3665.99</v>
      </c>
    </row>
    <row r="176" spans="1:8" ht="31.5" outlineLevel="2" x14ac:dyDescent="0.25">
      <c r="A176" s="68" t="s">
        <v>991</v>
      </c>
      <c r="B176" s="68" t="s">
        <v>2710</v>
      </c>
      <c r="C176" s="69" t="s">
        <v>513</v>
      </c>
      <c r="D176" s="68" t="s">
        <v>106</v>
      </c>
      <c r="E176" s="70">
        <f>'EST - REFEITÓRIO 17_03'!I28+'EST - REFEITÓRIO 17_03'!I36</f>
        <v>214.85000000000002</v>
      </c>
      <c r="F176" s="201">
        <v>45.06</v>
      </c>
      <c r="G176" s="201">
        <f t="shared" si="58"/>
        <v>57.104538000000005</v>
      </c>
      <c r="H176" s="201">
        <f t="shared" si="57"/>
        <v>12268.9</v>
      </c>
    </row>
    <row r="177" spans="1:8" ht="47.25" outlineLevel="2" x14ac:dyDescent="0.25">
      <c r="A177" s="68" t="s">
        <v>992</v>
      </c>
      <c r="B177" s="68" t="s">
        <v>79</v>
      </c>
      <c r="C177" s="69" t="s">
        <v>515</v>
      </c>
      <c r="D177" s="68" t="s">
        <v>273</v>
      </c>
      <c r="E177" s="70">
        <f>'EST - REFEITÓRIO 17_03'!I29+'EST - REFEITÓRIO 17_03'!I37</f>
        <v>33.129999999999995</v>
      </c>
      <c r="F177" s="201">
        <v>294.68</v>
      </c>
      <c r="G177" s="201">
        <f t="shared" si="58"/>
        <v>373.44796400000001</v>
      </c>
      <c r="H177" s="201">
        <f t="shared" si="57"/>
        <v>12372.33</v>
      </c>
    </row>
    <row r="178" spans="1:8" ht="31.5" outlineLevel="2" x14ac:dyDescent="0.25">
      <c r="A178" s="68" t="s">
        <v>993</v>
      </c>
      <c r="B178" s="68" t="s">
        <v>2711</v>
      </c>
      <c r="C178" s="69" t="s">
        <v>514</v>
      </c>
      <c r="D178" s="68" t="s">
        <v>273</v>
      </c>
      <c r="E178" s="70">
        <f>'EST - REFEITÓRIO 17_03'!I30+'EST - REFEITÓRIO 17_03'!I38</f>
        <v>33.129999999999995</v>
      </c>
      <c r="F178" s="201">
        <v>23.69</v>
      </c>
      <c r="G178" s="201">
        <f t="shared" si="58"/>
        <v>30.022337000000004</v>
      </c>
      <c r="H178" s="201">
        <f t="shared" si="57"/>
        <v>994.64</v>
      </c>
    </row>
    <row r="179" spans="1:8" ht="66.75" customHeight="1" outlineLevel="2" x14ac:dyDescent="0.25">
      <c r="A179" s="68" t="s">
        <v>994</v>
      </c>
      <c r="B179" s="68" t="s">
        <v>517</v>
      </c>
      <c r="C179" s="69" t="s">
        <v>516</v>
      </c>
      <c r="D179" s="68" t="s">
        <v>92</v>
      </c>
      <c r="E179" s="70">
        <f>'EST - REFEITÓRIO 17_03'!I31+'EST - REFEITÓRIO 17_03'!I41</f>
        <v>432.01</v>
      </c>
      <c r="F179" s="201">
        <v>7.55</v>
      </c>
      <c r="G179" s="201">
        <f t="shared" ref="G179" si="59">F179*(1+$E$2)</f>
        <v>9.5681150000000006</v>
      </c>
      <c r="H179" s="201">
        <f t="shared" si="57"/>
        <v>4133.5200000000004</v>
      </c>
    </row>
    <row r="180" spans="1:8" ht="69" customHeight="1" outlineLevel="2" x14ac:dyDescent="0.25">
      <c r="A180" s="68" t="s">
        <v>995</v>
      </c>
      <c r="B180" s="68" t="s">
        <v>519</v>
      </c>
      <c r="C180" s="69" t="s">
        <v>518</v>
      </c>
      <c r="D180" s="68" t="s">
        <v>92</v>
      </c>
      <c r="E180" s="70">
        <f>'EST - REFEITÓRIO 17_03'!I34+'EST - REFEITÓRIO 17_03'!I43</f>
        <v>406.82</v>
      </c>
      <c r="F180" s="201">
        <v>6.28</v>
      </c>
      <c r="G180" s="201">
        <f t="shared" si="58"/>
        <v>7.9586440000000005</v>
      </c>
      <c r="H180" s="201">
        <f t="shared" si="57"/>
        <v>3237.73</v>
      </c>
    </row>
    <row r="181" spans="1:8" ht="63" outlineLevel="2" x14ac:dyDescent="0.25">
      <c r="A181" s="68" t="s">
        <v>996</v>
      </c>
      <c r="B181" s="68" t="s">
        <v>521</v>
      </c>
      <c r="C181" s="69" t="s">
        <v>520</v>
      </c>
      <c r="D181" s="68" t="s">
        <v>92</v>
      </c>
      <c r="E181" s="70">
        <f>'EST - REFEITÓRIO 17_03'!I31+'EST - REFEITÓRIO 17_03'!I39</f>
        <v>549.51</v>
      </c>
      <c r="F181" s="201">
        <v>10.97</v>
      </c>
      <c r="G181" s="201">
        <f t="shared" si="58"/>
        <v>13.902281000000002</v>
      </c>
      <c r="H181" s="201">
        <f t="shared" si="57"/>
        <v>7639.44</v>
      </c>
    </row>
    <row r="182" spans="1:8" ht="63" outlineLevel="2" x14ac:dyDescent="0.25">
      <c r="A182" s="68" t="s">
        <v>997</v>
      </c>
      <c r="B182" s="68" t="s">
        <v>525</v>
      </c>
      <c r="C182" s="69" t="s">
        <v>524</v>
      </c>
      <c r="D182" s="68" t="s">
        <v>92</v>
      </c>
      <c r="E182" s="70">
        <f>'EST - REFEITÓRIO 17_03'!I41+'EST - REFEITÓRIO 17_03'!I32</f>
        <v>1046.0600000000002</v>
      </c>
      <c r="F182" s="201">
        <v>9.41</v>
      </c>
      <c r="G182" s="201">
        <f t="shared" si="58"/>
        <v>11.925293000000002</v>
      </c>
      <c r="H182" s="201">
        <f t="shared" si="57"/>
        <v>12474.57</v>
      </c>
    </row>
    <row r="183" spans="1:8" ht="71.25" customHeight="1" outlineLevel="2" x14ac:dyDescent="0.25">
      <c r="A183" s="68" t="s">
        <v>998</v>
      </c>
      <c r="B183" s="68" t="s">
        <v>2762</v>
      </c>
      <c r="C183" s="69" t="s">
        <v>2763</v>
      </c>
      <c r="D183" s="68" t="s">
        <v>92</v>
      </c>
      <c r="E183" s="70">
        <f>'EST - REFEITÓRIO 17_03'!I70</f>
        <v>66.38</v>
      </c>
      <c r="F183" s="201">
        <v>4.84</v>
      </c>
      <c r="G183" s="201">
        <f t="shared" si="58"/>
        <v>6.1337320000000002</v>
      </c>
      <c r="H183" s="201">
        <f t="shared" si="57"/>
        <v>407.15</v>
      </c>
    </row>
    <row r="184" spans="1:8" outlineLevel="2" x14ac:dyDescent="0.25">
      <c r="A184" s="68" t="s">
        <v>999</v>
      </c>
      <c r="B184" s="68" t="s">
        <v>259</v>
      </c>
      <c r="C184" s="69" t="s">
        <v>506</v>
      </c>
      <c r="D184" s="68" t="s">
        <v>273</v>
      </c>
      <c r="E184" s="70">
        <f>'EST - REFEITÓRIO 17_03'!I13</f>
        <v>55.087000000000018</v>
      </c>
      <c r="F184" s="201">
        <v>41.64</v>
      </c>
      <c r="G184" s="201">
        <f t="shared" si="58"/>
        <v>52.770372000000002</v>
      </c>
      <c r="H184" s="201">
        <f t="shared" si="57"/>
        <v>2906.96</v>
      </c>
    </row>
    <row r="185" spans="1:8" ht="63" outlineLevel="2" x14ac:dyDescent="0.25">
      <c r="A185" s="68" t="s">
        <v>1000</v>
      </c>
      <c r="B185" s="68" t="s">
        <v>508</v>
      </c>
      <c r="C185" s="69" t="s">
        <v>507</v>
      </c>
      <c r="D185" s="68" t="s">
        <v>273</v>
      </c>
      <c r="E185" s="70">
        <f>'EST - REFEITÓRIO 17_03'!I14</f>
        <v>34.327999999999996</v>
      </c>
      <c r="F185" s="201">
        <v>1.44</v>
      </c>
      <c r="G185" s="201">
        <f t="shared" si="58"/>
        <v>1.8249120000000001</v>
      </c>
      <c r="H185" s="201">
        <f t="shared" si="57"/>
        <v>62.64</v>
      </c>
    </row>
    <row r="186" spans="1:8" ht="47.25" outlineLevel="2" x14ac:dyDescent="0.25">
      <c r="A186" s="68" t="s">
        <v>1606</v>
      </c>
      <c r="B186" s="68" t="s">
        <v>2703</v>
      </c>
      <c r="C186" s="69" t="s">
        <v>509</v>
      </c>
      <c r="D186" s="68" t="s">
        <v>2696</v>
      </c>
      <c r="E186" s="70">
        <f>E185*10</f>
        <v>343.28</v>
      </c>
      <c r="F186" s="201">
        <v>1.2</v>
      </c>
      <c r="G186" s="201">
        <f t="shared" si="58"/>
        <v>1.5207600000000001</v>
      </c>
      <c r="H186" s="201">
        <f t="shared" si="57"/>
        <v>522.04</v>
      </c>
    </row>
    <row r="187" spans="1:8" ht="31.5" outlineLevel="2" x14ac:dyDescent="0.25">
      <c r="A187" s="68" t="s">
        <v>3007</v>
      </c>
      <c r="B187" s="68" t="s">
        <v>152</v>
      </c>
      <c r="C187" s="69" t="s">
        <v>510</v>
      </c>
      <c r="D187" s="68" t="s">
        <v>106</v>
      </c>
      <c r="E187" s="70">
        <f>'EST - REFEITÓRIO 17_03'!I20</f>
        <v>119.43</v>
      </c>
      <c r="F187" s="201">
        <v>8.6</v>
      </c>
      <c r="G187" s="201">
        <f t="shared" si="58"/>
        <v>10.89878</v>
      </c>
      <c r="H187" s="201">
        <f t="shared" si="57"/>
        <v>1301.6400000000001</v>
      </c>
    </row>
    <row r="188" spans="1:8" outlineLevel="1" x14ac:dyDescent="0.25">
      <c r="A188" s="79"/>
      <c r="B188" s="79"/>
      <c r="C188" s="80" t="s">
        <v>14</v>
      </c>
      <c r="D188" s="79"/>
      <c r="E188" s="81"/>
      <c r="F188" s="203"/>
      <c r="G188" s="218"/>
      <c r="H188" s="218">
        <f>SUM(H171:H187)</f>
        <v>120492.25</v>
      </c>
    </row>
    <row r="189" spans="1:8" outlineLevel="1" x14ac:dyDescent="0.25">
      <c r="A189" s="173" t="s">
        <v>168</v>
      </c>
      <c r="B189" s="173"/>
      <c r="C189" s="174" t="s">
        <v>157</v>
      </c>
      <c r="D189" s="173"/>
      <c r="E189" s="175"/>
      <c r="F189" s="205"/>
      <c r="G189" s="219"/>
      <c r="H189" s="206"/>
    </row>
    <row r="190" spans="1:8" ht="63" outlineLevel="2" x14ac:dyDescent="0.25">
      <c r="A190" s="68" t="s">
        <v>1001</v>
      </c>
      <c r="B190" s="68" t="s">
        <v>2712</v>
      </c>
      <c r="C190" s="69" t="s">
        <v>532</v>
      </c>
      <c r="D190" s="68" t="s">
        <v>106</v>
      </c>
      <c r="E190" s="70">
        <f>'EST - REFEITÓRIO 17_03'!I47</f>
        <v>131.34</v>
      </c>
      <c r="F190" s="201">
        <v>85.43</v>
      </c>
      <c r="G190" s="201">
        <f t="shared" ref="G190:G193" si="60">F190*(1+$E$2)</f>
        <v>108.26543900000001</v>
      </c>
      <c r="H190" s="201">
        <f t="shared" ref="H190:H193" si="61">TRUNC((G190*E190),2)</f>
        <v>14219.58</v>
      </c>
    </row>
    <row r="191" spans="1:8" ht="63" outlineLevel="2" x14ac:dyDescent="0.25">
      <c r="A191" s="68" t="s">
        <v>1002</v>
      </c>
      <c r="B191" s="68" t="s">
        <v>2713</v>
      </c>
      <c r="C191" s="116" t="s">
        <v>2714</v>
      </c>
      <c r="D191" s="68" t="s">
        <v>273</v>
      </c>
      <c r="E191" s="70">
        <f>'EST - REFEITÓRIO 17_03'!I48</f>
        <v>8.8800000000000008</v>
      </c>
      <c r="F191" s="201">
        <v>468.39</v>
      </c>
      <c r="G191" s="201">
        <f t="shared" si="60"/>
        <v>593.59064699999999</v>
      </c>
      <c r="H191" s="201">
        <f t="shared" si="61"/>
        <v>5271.08</v>
      </c>
    </row>
    <row r="192" spans="1:8" ht="63" outlineLevel="2" x14ac:dyDescent="0.25">
      <c r="A192" s="68" t="s">
        <v>1003</v>
      </c>
      <c r="B192" s="68" t="s">
        <v>2715</v>
      </c>
      <c r="C192" s="116" t="s">
        <v>533</v>
      </c>
      <c r="D192" s="68" t="s">
        <v>92</v>
      </c>
      <c r="E192" s="70">
        <f>'EST - REFEITÓRIO 17_03'!I50</f>
        <v>453.2</v>
      </c>
      <c r="F192" s="201">
        <v>11.94</v>
      </c>
      <c r="G192" s="201">
        <f t="shared" si="60"/>
        <v>15.131562000000001</v>
      </c>
      <c r="H192" s="201">
        <f t="shared" si="61"/>
        <v>6857.62</v>
      </c>
    </row>
    <row r="193" spans="1:8" ht="63" outlineLevel="2" x14ac:dyDescent="0.25">
      <c r="A193" s="68" t="s">
        <v>1004</v>
      </c>
      <c r="B193" s="68" t="s">
        <v>2718</v>
      </c>
      <c r="C193" s="69" t="s">
        <v>584</v>
      </c>
      <c r="D193" s="68" t="s">
        <v>92</v>
      </c>
      <c r="E193" s="70">
        <f>'EST - REFEITÓRIO 17_03'!I51</f>
        <v>1746.3</v>
      </c>
      <c r="F193" s="201">
        <v>6.57</v>
      </c>
      <c r="G193" s="201">
        <f t="shared" si="60"/>
        <v>8.3261610000000008</v>
      </c>
      <c r="H193" s="201">
        <f t="shared" si="61"/>
        <v>14539.97</v>
      </c>
    </row>
    <row r="194" spans="1:8" outlineLevel="1" x14ac:dyDescent="0.25">
      <c r="A194" s="79"/>
      <c r="B194" s="79"/>
      <c r="C194" s="80" t="s">
        <v>14</v>
      </c>
      <c r="D194" s="79"/>
      <c r="E194" s="81"/>
      <c r="F194" s="203"/>
      <c r="G194" s="218"/>
      <c r="H194" s="218">
        <f>SUM(H190:H193)</f>
        <v>40888.25</v>
      </c>
    </row>
    <row r="195" spans="1:8" outlineLevel="1" x14ac:dyDescent="0.25">
      <c r="A195" s="173" t="s">
        <v>330</v>
      </c>
      <c r="B195" s="173"/>
      <c r="C195" s="174" t="s">
        <v>158</v>
      </c>
      <c r="D195" s="173"/>
      <c r="E195" s="175"/>
      <c r="F195" s="205"/>
      <c r="G195" s="219"/>
      <c r="H195" s="206"/>
    </row>
    <row r="196" spans="1:8" ht="47.25" outlineLevel="2" x14ac:dyDescent="0.25">
      <c r="A196" s="68" t="s">
        <v>1005</v>
      </c>
      <c r="B196" s="68" t="s">
        <v>2720</v>
      </c>
      <c r="C196" s="69" t="s">
        <v>539</v>
      </c>
      <c r="D196" s="68" t="s">
        <v>106</v>
      </c>
      <c r="E196" s="70">
        <f>'EST - REFEITÓRIO 17_03'!I53</f>
        <v>149.53</v>
      </c>
      <c r="F196" s="201">
        <v>78.98</v>
      </c>
      <c r="G196" s="201">
        <f t="shared" ref="G196:G203" si="62">F196*(1+$E$2)</f>
        <v>100.09135400000001</v>
      </c>
      <c r="H196" s="201">
        <f t="shared" ref="H196:H205" si="63">TRUNC((G196*E196),2)</f>
        <v>14966.66</v>
      </c>
    </row>
    <row r="197" spans="1:8" ht="47.25" outlineLevel="2" x14ac:dyDescent="0.25">
      <c r="A197" s="68" t="s">
        <v>1006</v>
      </c>
      <c r="B197" s="68" t="s">
        <v>79</v>
      </c>
      <c r="C197" s="69" t="s">
        <v>515</v>
      </c>
      <c r="D197" s="68" t="s">
        <v>273</v>
      </c>
      <c r="E197" s="70">
        <f>'EST - REFEITÓRIO 17_03'!I54</f>
        <v>11.780000000000001</v>
      </c>
      <c r="F197" s="201">
        <v>294.68</v>
      </c>
      <c r="G197" s="201">
        <f t="shared" si="62"/>
        <v>373.44796400000001</v>
      </c>
      <c r="H197" s="201">
        <f t="shared" si="63"/>
        <v>4399.21</v>
      </c>
    </row>
    <row r="198" spans="1:8" ht="31.5" outlineLevel="2" x14ac:dyDescent="0.25">
      <c r="A198" s="68" t="s">
        <v>2220</v>
      </c>
      <c r="B198" s="68" t="s">
        <v>2721</v>
      </c>
      <c r="C198" s="69" t="s">
        <v>540</v>
      </c>
      <c r="D198" s="68" t="s">
        <v>273</v>
      </c>
      <c r="E198" s="70">
        <f>'EST - REFEITÓRIO 17_03'!I55</f>
        <v>11.780000000000001</v>
      </c>
      <c r="F198" s="201">
        <v>143.36000000000001</v>
      </c>
      <c r="G198" s="201">
        <f t="shared" si="62"/>
        <v>181.68012800000002</v>
      </c>
      <c r="H198" s="201">
        <f t="shared" si="63"/>
        <v>2140.19</v>
      </c>
    </row>
    <row r="199" spans="1:8" ht="47.25" outlineLevel="2" x14ac:dyDescent="0.25">
      <c r="A199" s="68" t="s">
        <v>2221</v>
      </c>
      <c r="B199" s="68" t="s">
        <v>588</v>
      </c>
      <c r="C199" s="69" t="s">
        <v>587</v>
      </c>
      <c r="D199" s="68" t="s">
        <v>106</v>
      </c>
      <c r="E199" s="70">
        <f>'EST - REFEITÓRIO 17_03'!I63</f>
        <v>118.1</v>
      </c>
      <c r="F199" s="221">
        <v>75.17</v>
      </c>
      <c r="G199" s="201">
        <f>F199*(1+$E$2)</f>
        <v>95.262941000000012</v>
      </c>
      <c r="H199" s="201">
        <f t="shared" si="63"/>
        <v>11250.55</v>
      </c>
    </row>
    <row r="200" spans="1:8" ht="31.5" outlineLevel="2" x14ac:dyDescent="0.25">
      <c r="A200" s="68" t="s">
        <v>1007</v>
      </c>
      <c r="B200" s="68" t="s">
        <v>2724</v>
      </c>
      <c r="C200" s="69" t="s">
        <v>589</v>
      </c>
      <c r="D200" s="68" t="s">
        <v>106</v>
      </c>
      <c r="E200" s="70">
        <f>'EST - REFEITÓRIO 17_03'!I64</f>
        <v>141.72</v>
      </c>
      <c r="F200" s="201">
        <v>10.61</v>
      </c>
      <c r="G200" s="201">
        <f t="shared" ref="G200" si="64">F200*(1+$E$2)</f>
        <v>13.446053000000001</v>
      </c>
      <c r="H200" s="201">
        <f t="shared" si="63"/>
        <v>1905.57</v>
      </c>
    </row>
    <row r="201" spans="1:8" ht="63" outlineLevel="2" x14ac:dyDescent="0.25">
      <c r="A201" s="68" t="s">
        <v>3348</v>
      </c>
      <c r="B201" s="68" t="s">
        <v>2715</v>
      </c>
      <c r="C201" s="69" t="s">
        <v>533</v>
      </c>
      <c r="D201" s="68" t="s">
        <v>92</v>
      </c>
      <c r="E201" s="70">
        <f>'EST - REFEITÓRIO 17_03'!I56</f>
        <v>170.4</v>
      </c>
      <c r="F201" s="201">
        <v>11.94</v>
      </c>
      <c r="G201" s="201">
        <f t="shared" si="62"/>
        <v>15.131562000000001</v>
      </c>
      <c r="H201" s="201">
        <f t="shared" si="63"/>
        <v>2578.41</v>
      </c>
    </row>
    <row r="202" spans="1:8" ht="63" outlineLevel="2" x14ac:dyDescent="0.25">
      <c r="A202" s="68" t="s">
        <v>1008</v>
      </c>
      <c r="B202" s="68" t="s">
        <v>2716</v>
      </c>
      <c r="C202" s="69" t="s">
        <v>535</v>
      </c>
      <c r="D202" s="68" t="s">
        <v>92</v>
      </c>
      <c r="E202" s="70">
        <f>'EST - REFEITÓRIO 17_03'!I58</f>
        <v>3.5</v>
      </c>
      <c r="F202" s="201">
        <v>9.9700000000000006</v>
      </c>
      <c r="G202" s="201">
        <f t="shared" si="62"/>
        <v>12.634981000000002</v>
      </c>
      <c r="H202" s="201">
        <f t="shared" si="63"/>
        <v>44.22</v>
      </c>
    </row>
    <row r="203" spans="1:8" ht="63" outlineLevel="2" x14ac:dyDescent="0.25">
      <c r="A203" s="68" t="s">
        <v>1009</v>
      </c>
      <c r="B203" s="68" t="s">
        <v>2717</v>
      </c>
      <c r="C203" s="69" t="s">
        <v>536</v>
      </c>
      <c r="D203" s="68" t="s">
        <v>92</v>
      </c>
      <c r="E203" s="70">
        <f>'EST - REFEITÓRIO 17_03'!I59</f>
        <v>416.6</v>
      </c>
      <c r="F203" s="201">
        <v>8.02</v>
      </c>
      <c r="G203" s="201">
        <f t="shared" si="62"/>
        <v>10.163746</v>
      </c>
      <c r="H203" s="201">
        <f t="shared" si="63"/>
        <v>4234.21</v>
      </c>
    </row>
    <row r="204" spans="1:8" ht="63" outlineLevel="2" x14ac:dyDescent="0.25">
      <c r="A204" s="68" t="s">
        <v>1010</v>
      </c>
      <c r="B204" s="68" t="s">
        <v>2718</v>
      </c>
      <c r="C204" s="69" t="s">
        <v>584</v>
      </c>
      <c r="D204" s="68" t="s">
        <v>92</v>
      </c>
      <c r="E204" s="70">
        <f>'EST - REFEITÓRIO 17_03'!I60</f>
        <v>96.6</v>
      </c>
      <c r="F204" s="201">
        <v>6.57</v>
      </c>
      <c r="G204" s="201">
        <f t="shared" ref="G204" si="65">F204*(1+$E$2)</f>
        <v>8.3261610000000008</v>
      </c>
      <c r="H204" s="201">
        <f t="shared" si="63"/>
        <v>804.3</v>
      </c>
    </row>
    <row r="205" spans="1:8" ht="63" outlineLevel="2" x14ac:dyDescent="0.25">
      <c r="A205" s="68" t="s">
        <v>3349</v>
      </c>
      <c r="B205" s="68">
        <v>92780</v>
      </c>
      <c r="C205" s="69" t="s">
        <v>2993</v>
      </c>
      <c r="D205" s="68" t="s">
        <v>92</v>
      </c>
      <c r="E205" s="70">
        <f>'EST - REFEITÓRIO 17_03'!I61</f>
        <v>93.9</v>
      </c>
      <c r="F205" s="201">
        <v>5.0599999999999996</v>
      </c>
      <c r="G205" s="201">
        <f t="shared" ref="G205" si="66">F205*(1+$E$2)</f>
        <v>6.4125379999999996</v>
      </c>
      <c r="H205" s="201">
        <f t="shared" si="63"/>
        <v>602.13</v>
      </c>
    </row>
    <row r="206" spans="1:8" outlineLevel="1" x14ac:dyDescent="0.25">
      <c r="A206" s="79"/>
      <c r="B206" s="79"/>
      <c r="C206" s="80" t="s">
        <v>14</v>
      </c>
      <c r="D206" s="79"/>
      <c r="E206" s="81"/>
      <c r="F206" s="203"/>
      <c r="G206" s="218"/>
      <c r="H206" s="218">
        <f>SUM(H196:H205)</f>
        <v>42925.45</v>
      </c>
    </row>
    <row r="207" spans="1:8" outlineLevel="1" x14ac:dyDescent="0.25">
      <c r="A207" s="173" t="s">
        <v>319</v>
      </c>
      <c r="B207" s="173"/>
      <c r="C207" s="174" t="s">
        <v>153</v>
      </c>
      <c r="D207" s="173"/>
      <c r="E207" s="175"/>
      <c r="F207" s="205"/>
      <c r="G207" s="219"/>
      <c r="H207" s="206"/>
    </row>
    <row r="208" spans="1:8" ht="31.5" outlineLevel="2" x14ac:dyDescent="0.25">
      <c r="A208" s="68" t="s">
        <v>1011</v>
      </c>
      <c r="B208" s="68" t="s">
        <v>2723</v>
      </c>
      <c r="C208" s="69" t="s">
        <v>511</v>
      </c>
      <c r="D208" s="68" t="s">
        <v>106</v>
      </c>
      <c r="E208" s="70">
        <f>'EST - REFEITÓRIO 17_03'!I21</f>
        <v>378.45</v>
      </c>
      <c r="F208" s="201">
        <v>4.55</v>
      </c>
      <c r="G208" s="201">
        <f t="shared" ref="G208:G212" si="67">F208*(1+$E$2)</f>
        <v>5.7662149999999999</v>
      </c>
      <c r="H208" s="201">
        <f t="shared" ref="H208:H212" si="68">TRUNC((G208*E208),2)</f>
        <v>2182.2199999999998</v>
      </c>
    </row>
    <row r="209" spans="1:8" outlineLevel="2" x14ac:dyDescent="0.25">
      <c r="A209" s="68" t="s">
        <v>1012</v>
      </c>
      <c r="B209" s="68" t="s">
        <v>642</v>
      </c>
      <c r="C209" s="69" t="s">
        <v>643</v>
      </c>
      <c r="D209" s="68" t="s">
        <v>273</v>
      </c>
      <c r="E209" s="70">
        <f>'EST - REFEITÓRIO 17_03'!I19</f>
        <v>18.922499999999999</v>
      </c>
      <c r="F209" s="201">
        <v>87.4</v>
      </c>
      <c r="G209" s="201">
        <f t="shared" si="67"/>
        <v>110.76202000000002</v>
      </c>
      <c r="H209" s="201">
        <f t="shared" si="68"/>
        <v>2095.89</v>
      </c>
    </row>
    <row r="210" spans="1:8" ht="31.5" outlineLevel="2" x14ac:dyDescent="0.25">
      <c r="A210" s="68" t="s">
        <v>1013</v>
      </c>
      <c r="B210" s="68" t="s">
        <v>2724</v>
      </c>
      <c r="C210" s="69" t="s">
        <v>589</v>
      </c>
      <c r="D210" s="68" t="s">
        <v>106</v>
      </c>
      <c r="E210" s="70">
        <f>'EST - REFEITÓRIO 17_03'!I26</f>
        <v>378.45</v>
      </c>
      <c r="F210" s="201">
        <v>10.61</v>
      </c>
      <c r="G210" s="201">
        <f t="shared" si="67"/>
        <v>13.446053000000001</v>
      </c>
      <c r="H210" s="201">
        <f t="shared" si="68"/>
        <v>5088.6499999999996</v>
      </c>
    </row>
    <row r="211" spans="1:8" ht="47.25" outlineLevel="2" x14ac:dyDescent="0.25">
      <c r="A211" s="68" t="s">
        <v>1014</v>
      </c>
      <c r="B211" s="68" t="s">
        <v>79</v>
      </c>
      <c r="C211" s="69" t="s">
        <v>515</v>
      </c>
      <c r="D211" s="68" t="s">
        <v>273</v>
      </c>
      <c r="E211" s="70">
        <f>'EST - REFEITÓRIO 17_03'!I24</f>
        <v>26.491500000000002</v>
      </c>
      <c r="F211" s="201">
        <v>294.68</v>
      </c>
      <c r="G211" s="201">
        <f t="shared" si="67"/>
        <v>373.44796400000001</v>
      </c>
      <c r="H211" s="201">
        <f t="shared" si="68"/>
        <v>9893.19</v>
      </c>
    </row>
    <row r="212" spans="1:8" ht="31.5" outlineLevel="2" x14ac:dyDescent="0.25">
      <c r="A212" s="68" t="s">
        <v>1015</v>
      </c>
      <c r="B212" s="68" t="s">
        <v>2711</v>
      </c>
      <c r="C212" s="69" t="s">
        <v>514</v>
      </c>
      <c r="D212" s="68" t="s">
        <v>273</v>
      </c>
      <c r="E212" s="70">
        <f>'EST - REFEITÓRIO 17_03'!I25</f>
        <v>26.491500000000002</v>
      </c>
      <c r="F212" s="201">
        <v>23.69</v>
      </c>
      <c r="G212" s="201">
        <f t="shared" si="67"/>
        <v>30.022337000000004</v>
      </c>
      <c r="H212" s="201">
        <f t="shared" si="68"/>
        <v>795.33</v>
      </c>
    </row>
    <row r="213" spans="1:8" outlineLevel="1" x14ac:dyDescent="0.25">
      <c r="A213" s="79"/>
      <c r="B213" s="79"/>
      <c r="C213" s="80" t="s">
        <v>14</v>
      </c>
      <c r="D213" s="79"/>
      <c r="E213" s="81"/>
      <c r="F213" s="203"/>
      <c r="G213" s="218"/>
      <c r="H213" s="218">
        <f>SUM(H208:H212)</f>
        <v>20055.28</v>
      </c>
    </row>
    <row r="214" spans="1:8" outlineLevel="1" x14ac:dyDescent="0.25">
      <c r="A214" s="173" t="s">
        <v>331</v>
      </c>
      <c r="B214" s="173"/>
      <c r="C214" s="174" t="s">
        <v>93</v>
      </c>
      <c r="D214" s="173"/>
      <c r="E214" s="176"/>
      <c r="F214" s="206"/>
      <c r="G214" s="219"/>
      <c r="H214" s="206"/>
    </row>
    <row r="215" spans="1:8" ht="78.75" outlineLevel="2" x14ac:dyDescent="0.25">
      <c r="A215" s="68" t="s">
        <v>1016</v>
      </c>
      <c r="B215" s="68" t="s">
        <v>2731</v>
      </c>
      <c r="C215" s="69" t="s">
        <v>644</v>
      </c>
      <c r="D215" s="68" t="s">
        <v>106</v>
      </c>
      <c r="E215" s="70">
        <f>'ARQ - REFEITÓRIO'!F10</f>
        <v>436.75</v>
      </c>
      <c r="F215" s="201">
        <v>57.74</v>
      </c>
      <c r="G215" s="201">
        <f t="shared" ref="G215:G220" si="69">F215*(1+$E$2)</f>
        <v>73.173902000000012</v>
      </c>
      <c r="H215" s="201">
        <f t="shared" ref="H215:H220" si="70">TRUNC((G215*E215),2)</f>
        <v>31958.7</v>
      </c>
    </row>
    <row r="216" spans="1:8" ht="31.5" outlineLevel="2" x14ac:dyDescent="0.25">
      <c r="A216" s="68" t="s">
        <v>1019</v>
      </c>
      <c r="B216" s="68" t="s">
        <v>2732</v>
      </c>
      <c r="C216" s="69" t="s">
        <v>826</v>
      </c>
      <c r="D216" s="68" t="s">
        <v>99</v>
      </c>
      <c r="E216" s="70">
        <f>'ARQ - REFEITÓRIO'!F12</f>
        <v>6</v>
      </c>
      <c r="F216" s="201">
        <v>33.25</v>
      </c>
      <c r="G216" s="201">
        <f t="shared" si="69"/>
        <v>42.137725000000003</v>
      </c>
      <c r="H216" s="201">
        <f t="shared" si="70"/>
        <v>252.82</v>
      </c>
    </row>
    <row r="217" spans="1:8" ht="31.5" outlineLevel="2" x14ac:dyDescent="0.25">
      <c r="A217" s="68" t="s">
        <v>1020</v>
      </c>
      <c r="B217" s="68" t="s">
        <v>2733</v>
      </c>
      <c r="C217" s="69" t="s">
        <v>827</v>
      </c>
      <c r="D217" s="68" t="s">
        <v>99</v>
      </c>
      <c r="E217" s="70">
        <f>'ARQ - REFEITÓRIO'!F13</f>
        <v>19.2</v>
      </c>
      <c r="F217" s="201">
        <v>38.15</v>
      </c>
      <c r="G217" s="201">
        <f t="shared" si="69"/>
        <v>48.347495000000002</v>
      </c>
      <c r="H217" s="201">
        <f t="shared" si="70"/>
        <v>928.27</v>
      </c>
    </row>
    <row r="218" spans="1:8" ht="31.5" outlineLevel="2" x14ac:dyDescent="0.25">
      <c r="A218" s="68" t="s">
        <v>1021</v>
      </c>
      <c r="B218" s="68" t="s">
        <v>2734</v>
      </c>
      <c r="C218" s="69" t="s">
        <v>828</v>
      </c>
      <c r="D218" s="68" t="s">
        <v>99</v>
      </c>
      <c r="E218" s="70">
        <f>'ARQ - REFEITÓRIO'!F11</f>
        <v>12.8</v>
      </c>
      <c r="F218" s="201">
        <v>32.380000000000003</v>
      </c>
      <c r="G218" s="201">
        <f t="shared" si="69"/>
        <v>41.035174000000005</v>
      </c>
      <c r="H218" s="201">
        <f t="shared" si="70"/>
        <v>525.25</v>
      </c>
    </row>
    <row r="219" spans="1:8" ht="31.5" outlineLevel="2" x14ac:dyDescent="0.25">
      <c r="A219" s="68" t="s">
        <v>1982</v>
      </c>
      <c r="B219" s="68" t="s">
        <v>2736</v>
      </c>
      <c r="C219" s="69" t="s">
        <v>830</v>
      </c>
      <c r="D219" s="68" t="s">
        <v>99</v>
      </c>
      <c r="E219" s="70">
        <f>'ARQ - REFEITÓRIO'!F14</f>
        <v>6</v>
      </c>
      <c r="F219" s="201">
        <v>31.73</v>
      </c>
      <c r="G219" s="201">
        <f t="shared" si="69"/>
        <v>40.211429000000003</v>
      </c>
      <c r="H219" s="201">
        <f t="shared" si="70"/>
        <v>241.26</v>
      </c>
    </row>
    <row r="220" spans="1:8" ht="31.5" outlineLevel="2" x14ac:dyDescent="0.25">
      <c r="A220" s="68" t="s">
        <v>2088</v>
      </c>
      <c r="B220" s="68" t="s">
        <v>2735</v>
      </c>
      <c r="C220" s="69" t="s">
        <v>829</v>
      </c>
      <c r="D220" s="68" t="s">
        <v>99</v>
      </c>
      <c r="E220" s="70">
        <f>'ARQ - REFEITÓRIO'!F15</f>
        <v>19.2</v>
      </c>
      <c r="F220" s="201">
        <v>34.97</v>
      </c>
      <c r="G220" s="201">
        <f t="shared" si="69"/>
        <v>44.317481000000001</v>
      </c>
      <c r="H220" s="201">
        <f t="shared" si="70"/>
        <v>850.89</v>
      </c>
    </row>
    <row r="221" spans="1:8" outlineLevel="1" x14ac:dyDescent="0.25">
      <c r="A221" s="122"/>
      <c r="B221" s="79"/>
      <c r="C221" s="80" t="s">
        <v>14</v>
      </c>
      <c r="D221" s="79"/>
      <c r="E221" s="81"/>
      <c r="F221" s="203"/>
      <c r="G221" s="218"/>
      <c r="H221" s="218">
        <f>SUM(H215:H220)</f>
        <v>34757.19</v>
      </c>
    </row>
    <row r="222" spans="1:8" outlineLevel="1" x14ac:dyDescent="0.25">
      <c r="A222" s="173" t="s">
        <v>326</v>
      </c>
      <c r="B222" s="173"/>
      <c r="C222" s="174" t="s">
        <v>74</v>
      </c>
      <c r="D222" s="173"/>
      <c r="E222" s="175"/>
      <c r="F222" s="205"/>
      <c r="G222" s="219"/>
      <c r="H222" s="206"/>
    </row>
    <row r="223" spans="1:8" ht="31.5" outlineLevel="2" x14ac:dyDescent="0.25">
      <c r="A223" s="68" t="s">
        <v>1018</v>
      </c>
      <c r="B223" s="68" t="s">
        <v>593</v>
      </c>
      <c r="C223" s="69" t="s">
        <v>592</v>
      </c>
      <c r="D223" s="68" t="s">
        <v>92</v>
      </c>
      <c r="E223" s="70">
        <f>'EST - REFEITÓRIO 17_03'!I68</f>
        <v>5516.99</v>
      </c>
      <c r="F223" s="201">
        <v>6.89</v>
      </c>
      <c r="G223" s="201">
        <f t="shared" ref="G223:G226" si="71">F223*(1+$E$2)</f>
        <v>8.7316970000000005</v>
      </c>
      <c r="H223" s="201">
        <f t="shared" ref="H223:H226" si="72">TRUNC((G223*E223),2)</f>
        <v>48172.68</v>
      </c>
    </row>
    <row r="224" spans="1:8" outlineLevel="2" x14ac:dyDescent="0.25">
      <c r="A224" s="68" t="s">
        <v>1022</v>
      </c>
      <c r="B224" s="68" t="s">
        <v>595</v>
      </c>
      <c r="C224" s="69" t="s">
        <v>594</v>
      </c>
      <c r="D224" s="68" t="s">
        <v>92</v>
      </c>
      <c r="E224" s="70">
        <f>E223</f>
        <v>5516.99</v>
      </c>
      <c r="F224" s="201">
        <v>1.64</v>
      </c>
      <c r="G224" s="201">
        <f t="shared" si="71"/>
        <v>2.0783719999999999</v>
      </c>
      <c r="H224" s="201">
        <f t="shared" si="72"/>
        <v>11466.35</v>
      </c>
    </row>
    <row r="225" spans="1:8" ht="31.5" outlineLevel="2" x14ac:dyDescent="0.25">
      <c r="A225" s="68" t="s">
        <v>1023</v>
      </c>
      <c r="B225" s="68" t="s">
        <v>1555</v>
      </c>
      <c r="C225" s="69" t="s">
        <v>1554</v>
      </c>
      <c r="D225" s="68" t="s">
        <v>106</v>
      </c>
      <c r="E225" s="70">
        <f>'EST - REFEITÓRIO 17_03'!I69</f>
        <v>307.95</v>
      </c>
      <c r="F225" s="201">
        <v>21.24</v>
      </c>
      <c r="G225" s="201">
        <f t="shared" si="71"/>
        <v>26.917452000000001</v>
      </c>
      <c r="H225" s="201">
        <f t="shared" si="72"/>
        <v>8289.2199999999993</v>
      </c>
    </row>
    <row r="226" spans="1:8" ht="31.5" outlineLevel="2" x14ac:dyDescent="0.25">
      <c r="A226" s="68" t="s">
        <v>1024</v>
      </c>
      <c r="B226" s="68" t="s">
        <v>815</v>
      </c>
      <c r="C226" s="69" t="s">
        <v>816</v>
      </c>
      <c r="D226" s="68" t="s">
        <v>106</v>
      </c>
      <c r="E226" s="70">
        <f>'ARQ - REFEITÓRIO'!F18</f>
        <v>494.56</v>
      </c>
      <c r="F226" s="201">
        <v>38.36</v>
      </c>
      <c r="G226" s="201">
        <f t="shared" si="71"/>
        <v>48.613628000000006</v>
      </c>
      <c r="H226" s="201">
        <f t="shared" si="72"/>
        <v>24042.35</v>
      </c>
    </row>
    <row r="227" spans="1:8" outlineLevel="1" x14ac:dyDescent="0.25">
      <c r="A227" s="79"/>
      <c r="B227" s="79"/>
      <c r="C227" s="80" t="s">
        <v>14</v>
      </c>
      <c r="D227" s="79"/>
      <c r="E227" s="81"/>
      <c r="F227" s="203"/>
      <c r="G227" s="218"/>
      <c r="H227" s="218">
        <f>SUM(H223:H226)</f>
        <v>91970.6</v>
      </c>
    </row>
    <row r="228" spans="1:8" outlineLevel="1" x14ac:dyDescent="0.25">
      <c r="A228" s="173" t="s">
        <v>332</v>
      </c>
      <c r="B228" s="173"/>
      <c r="C228" s="174" t="s">
        <v>80</v>
      </c>
      <c r="D228" s="173"/>
      <c r="E228" s="176"/>
      <c r="F228" s="206"/>
      <c r="G228" s="219"/>
      <c r="H228" s="206"/>
    </row>
    <row r="229" spans="1:8" ht="63" outlineLevel="2" x14ac:dyDescent="0.25">
      <c r="A229" s="68" t="s">
        <v>1025</v>
      </c>
      <c r="B229" s="68" t="s">
        <v>2737</v>
      </c>
      <c r="C229" s="69" t="s">
        <v>2738</v>
      </c>
      <c r="D229" s="68" t="s">
        <v>106</v>
      </c>
      <c r="E229" s="70">
        <f>'ARQ - REFEITÓRIO'!F28</f>
        <v>868.31</v>
      </c>
      <c r="F229" s="201">
        <v>2.56</v>
      </c>
      <c r="G229" s="201">
        <f t="shared" ref="G229:G235" si="73">F229*(1+$E$2)</f>
        <v>3.2442880000000005</v>
      </c>
      <c r="H229" s="201">
        <f t="shared" ref="H229:H235" si="74">TRUNC((G229*E229),2)</f>
        <v>2817.04</v>
      </c>
    </row>
    <row r="230" spans="1:8" ht="47.25" outlineLevel="2" x14ac:dyDescent="0.25">
      <c r="A230" s="68" t="s">
        <v>1026</v>
      </c>
      <c r="B230" s="68" t="s">
        <v>2740</v>
      </c>
      <c r="C230" s="69" t="s">
        <v>2196</v>
      </c>
      <c r="D230" s="68" t="s">
        <v>106</v>
      </c>
      <c r="E230" s="70">
        <f>'ARQ - REFEITÓRIO'!F29</f>
        <v>120.28</v>
      </c>
      <c r="F230" s="201">
        <v>3.76</v>
      </c>
      <c r="G230" s="201">
        <f t="shared" ref="G230" si="75">F230*(1+$E$2)</f>
        <v>4.7650480000000002</v>
      </c>
      <c r="H230" s="201">
        <f t="shared" si="74"/>
        <v>573.13</v>
      </c>
    </row>
    <row r="231" spans="1:8" ht="78.75" outlineLevel="2" x14ac:dyDescent="0.25">
      <c r="A231" s="68" t="s">
        <v>1027</v>
      </c>
      <c r="B231" s="68" t="s">
        <v>2739</v>
      </c>
      <c r="C231" s="69" t="s">
        <v>1985</v>
      </c>
      <c r="D231" s="68" t="s">
        <v>106</v>
      </c>
      <c r="E231" s="70">
        <f>'ARQ - REFEITÓRIO'!F30+'ARQ - REFEITÓRIO'!F32</f>
        <v>868.31</v>
      </c>
      <c r="F231" s="201">
        <v>26.04</v>
      </c>
      <c r="G231" s="201">
        <f t="shared" si="73"/>
        <v>33.000492000000001</v>
      </c>
      <c r="H231" s="201">
        <f t="shared" si="74"/>
        <v>28654.65</v>
      </c>
    </row>
    <row r="232" spans="1:8" ht="63" outlineLevel="2" x14ac:dyDescent="0.25">
      <c r="A232" s="68" t="s">
        <v>1028</v>
      </c>
      <c r="B232" s="68" t="s">
        <v>2741</v>
      </c>
      <c r="C232" s="69" t="s">
        <v>1984</v>
      </c>
      <c r="D232" s="68" t="s">
        <v>106</v>
      </c>
      <c r="E232" s="70">
        <f>'ARQ - REFEITÓRIO'!F31</f>
        <v>120.28</v>
      </c>
      <c r="F232" s="201">
        <v>33.15</v>
      </c>
      <c r="G232" s="201">
        <f t="shared" ref="G232" si="76">F232*(1+$E$2)</f>
        <v>42.010995000000001</v>
      </c>
      <c r="H232" s="201">
        <f t="shared" si="74"/>
        <v>5053.08</v>
      </c>
    </row>
    <row r="233" spans="1:8" ht="47.25" outlineLevel="2" x14ac:dyDescent="0.25">
      <c r="A233" s="68" t="s">
        <v>1029</v>
      </c>
      <c r="B233" s="68" t="s">
        <v>772</v>
      </c>
      <c r="C233" s="69" t="s">
        <v>2743</v>
      </c>
      <c r="D233" s="68" t="s">
        <v>106</v>
      </c>
      <c r="E233" s="70">
        <f>'ARQ - REFEITÓRIO'!F34</f>
        <v>27.32</v>
      </c>
      <c r="F233" s="201">
        <v>165.09</v>
      </c>
      <c r="G233" s="201">
        <f t="shared" si="73"/>
        <v>209.21855700000003</v>
      </c>
      <c r="H233" s="201">
        <f t="shared" si="74"/>
        <v>5715.85</v>
      </c>
    </row>
    <row r="234" spans="1:8" ht="78.75" outlineLevel="2" x14ac:dyDescent="0.25">
      <c r="A234" s="68" t="s">
        <v>1983</v>
      </c>
      <c r="B234" s="68" t="s">
        <v>2742</v>
      </c>
      <c r="C234" s="69" t="s">
        <v>773</v>
      </c>
      <c r="D234" s="68" t="s">
        <v>106</v>
      </c>
      <c r="E234" s="70">
        <f>'ARQ - REFEITÓRIO'!F33</f>
        <v>417.93</v>
      </c>
      <c r="F234" s="201">
        <v>47.04</v>
      </c>
      <c r="G234" s="201">
        <f t="shared" si="73"/>
        <v>59.613792000000004</v>
      </c>
      <c r="H234" s="201">
        <f t="shared" si="74"/>
        <v>24914.39</v>
      </c>
    </row>
    <row r="235" spans="1:8" ht="31.5" outlineLevel="2" x14ac:dyDescent="0.25">
      <c r="A235" s="68" t="s">
        <v>2222</v>
      </c>
      <c r="B235" s="68" t="s">
        <v>2745</v>
      </c>
      <c r="C235" s="69" t="s">
        <v>774</v>
      </c>
      <c r="D235" s="68" t="s">
        <v>106</v>
      </c>
      <c r="E235" s="70">
        <f>'ARQ - REFEITÓRIO'!F7</f>
        <v>119.19</v>
      </c>
      <c r="F235" s="201">
        <v>21.8</v>
      </c>
      <c r="G235" s="201">
        <f t="shared" si="73"/>
        <v>27.627140000000004</v>
      </c>
      <c r="H235" s="201">
        <f t="shared" si="74"/>
        <v>3292.87</v>
      </c>
    </row>
    <row r="236" spans="1:8" outlineLevel="1" x14ac:dyDescent="0.25">
      <c r="A236" s="79"/>
      <c r="B236" s="79"/>
      <c r="C236" s="80" t="s">
        <v>14</v>
      </c>
      <c r="D236" s="79"/>
      <c r="E236" s="81"/>
      <c r="F236" s="203"/>
      <c r="G236" s="218"/>
      <c r="H236" s="218">
        <f>SUM(H229:H235)</f>
        <v>71021.009999999995</v>
      </c>
    </row>
    <row r="237" spans="1:8" outlineLevel="1" x14ac:dyDescent="0.25">
      <c r="A237" s="173" t="s">
        <v>333</v>
      </c>
      <c r="B237" s="173"/>
      <c r="C237" s="174" t="s">
        <v>11</v>
      </c>
      <c r="D237" s="173"/>
      <c r="E237" s="176"/>
      <c r="F237" s="206"/>
      <c r="G237" s="219"/>
      <c r="H237" s="206"/>
    </row>
    <row r="238" spans="1:8" ht="47.25" outlineLevel="2" x14ac:dyDescent="0.25">
      <c r="A238" s="68" t="s">
        <v>1030</v>
      </c>
      <c r="B238" s="68" t="s">
        <v>2746</v>
      </c>
      <c r="C238" s="69" t="s">
        <v>775</v>
      </c>
      <c r="D238" s="68" t="s">
        <v>106</v>
      </c>
      <c r="E238" s="70">
        <f>'ARQ - REFEITÓRIO'!F40</f>
        <v>358.18</v>
      </c>
      <c r="F238" s="201">
        <v>73.47</v>
      </c>
      <c r="G238" s="201">
        <f t="shared" ref="G238:G240" si="77">F238*(1+$E$2)</f>
        <v>93.108530999999999</v>
      </c>
      <c r="H238" s="201">
        <f t="shared" ref="H238:H240" si="78">TRUNC((G238*E238),2)</f>
        <v>33349.61</v>
      </c>
    </row>
    <row r="239" spans="1:8" s="71" customFormat="1" ht="47.25" outlineLevel="2" x14ac:dyDescent="0.25">
      <c r="A239" s="68" t="s">
        <v>1031</v>
      </c>
      <c r="B239" s="68" t="s">
        <v>2674</v>
      </c>
      <c r="C239" s="69" t="s">
        <v>2675</v>
      </c>
      <c r="D239" s="68" t="s">
        <v>99</v>
      </c>
      <c r="E239" s="70">
        <f>'ARQ - REFEITÓRIO'!F41</f>
        <v>61.8</v>
      </c>
      <c r="F239" s="201">
        <v>10.65</v>
      </c>
      <c r="G239" s="201">
        <f t="shared" si="77"/>
        <v>13.496745000000001</v>
      </c>
      <c r="H239" s="201">
        <f t="shared" si="78"/>
        <v>834.09</v>
      </c>
    </row>
    <row r="240" spans="1:8" ht="63" outlineLevel="2" x14ac:dyDescent="0.25">
      <c r="A240" s="68" t="s">
        <v>1986</v>
      </c>
      <c r="B240" s="68" t="s">
        <v>2760</v>
      </c>
      <c r="C240" s="69" t="s">
        <v>2081</v>
      </c>
      <c r="D240" s="68" t="s">
        <v>106</v>
      </c>
      <c r="E240" s="70">
        <f>'ARQ - REFEITÓRIO'!F62</f>
        <v>85.2</v>
      </c>
      <c r="F240" s="201">
        <v>66.02</v>
      </c>
      <c r="G240" s="201">
        <f t="shared" si="77"/>
        <v>83.667146000000002</v>
      </c>
      <c r="H240" s="201">
        <f t="shared" si="78"/>
        <v>7128.44</v>
      </c>
    </row>
    <row r="241" spans="1:8" outlineLevel="1" x14ac:dyDescent="0.25">
      <c r="A241" s="122"/>
      <c r="B241" s="79"/>
      <c r="C241" s="80" t="s">
        <v>14</v>
      </c>
      <c r="D241" s="79"/>
      <c r="E241" s="81"/>
      <c r="F241" s="203"/>
      <c r="G241" s="218"/>
      <c r="H241" s="218">
        <f>SUM(H238:H240)</f>
        <v>41312.14</v>
      </c>
    </row>
    <row r="242" spans="1:8" outlineLevel="1" x14ac:dyDescent="0.25">
      <c r="A242" s="173" t="s">
        <v>334</v>
      </c>
      <c r="B242" s="173"/>
      <c r="C242" s="174" t="s">
        <v>78</v>
      </c>
      <c r="D242" s="173"/>
      <c r="E242" s="176"/>
      <c r="F242" s="206"/>
      <c r="G242" s="219"/>
      <c r="H242" s="206"/>
    </row>
    <row r="243" spans="1:8" ht="63" outlineLevel="2" x14ac:dyDescent="0.25">
      <c r="A243" s="68" t="s">
        <v>1032</v>
      </c>
      <c r="B243" s="68" t="s">
        <v>804</v>
      </c>
      <c r="C243" s="69" t="s">
        <v>2729</v>
      </c>
      <c r="D243" s="68" t="s">
        <v>56</v>
      </c>
      <c r="E243" s="70">
        <f>'ARQ - REFEITÓRIO'!F21</f>
        <v>8</v>
      </c>
      <c r="F243" s="221">
        <v>798.99</v>
      </c>
      <c r="G243" s="201">
        <f t="shared" ref="G243:G246" si="79">F243*(1+$E$2)</f>
        <v>1012.5600270000001</v>
      </c>
      <c r="H243" s="201">
        <f t="shared" ref="H243:H246" si="80">TRUNC((G243*E243),2)</f>
        <v>8100.48</v>
      </c>
    </row>
    <row r="244" spans="1:8" ht="63" outlineLevel="2" x14ac:dyDescent="0.25">
      <c r="A244" s="68" t="s">
        <v>1033</v>
      </c>
      <c r="B244" s="68" t="s">
        <v>1987</v>
      </c>
      <c r="C244" s="69" t="s">
        <v>2687</v>
      </c>
      <c r="D244" s="68" t="s">
        <v>56</v>
      </c>
      <c r="E244" s="70">
        <f>'ARQ - REFEITÓRIO'!F22</f>
        <v>2</v>
      </c>
      <c r="F244" s="221">
        <v>1125.79</v>
      </c>
      <c r="G244" s="201">
        <f t="shared" ref="G244" si="81">F244*(1+$E$2)</f>
        <v>1426.713667</v>
      </c>
      <c r="H244" s="201">
        <f t="shared" si="80"/>
        <v>2853.42</v>
      </c>
    </row>
    <row r="245" spans="1:8" ht="31.5" outlineLevel="2" x14ac:dyDescent="0.25">
      <c r="A245" s="68" t="s">
        <v>1034</v>
      </c>
      <c r="B245" s="68" t="s">
        <v>2730</v>
      </c>
      <c r="C245" s="69" t="s">
        <v>806</v>
      </c>
      <c r="D245" s="68" t="s">
        <v>106</v>
      </c>
      <c r="E245" s="70">
        <f>'ARQ - REFEITÓRIO'!F23+'ARQ - REFEITÓRIO'!F24</f>
        <v>11.2</v>
      </c>
      <c r="F245" s="201">
        <v>857.15</v>
      </c>
      <c r="G245" s="201">
        <f t="shared" si="79"/>
        <v>1086.2661950000002</v>
      </c>
      <c r="H245" s="201">
        <f t="shared" si="80"/>
        <v>12166.18</v>
      </c>
    </row>
    <row r="246" spans="1:8" ht="63" outlineLevel="2" x14ac:dyDescent="0.25">
      <c r="A246" s="68" t="s">
        <v>2223</v>
      </c>
      <c r="B246" s="68" t="s">
        <v>257</v>
      </c>
      <c r="C246" s="69" t="s">
        <v>813</v>
      </c>
      <c r="D246" s="68" t="s">
        <v>56</v>
      </c>
      <c r="E246" s="70">
        <f>'ARQ - REFEITÓRIO'!F25</f>
        <v>2</v>
      </c>
      <c r="F246" s="201">
        <v>2523.5300000000002</v>
      </c>
      <c r="G246" s="201">
        <f t="shared" si="79"/>
        <v>3198.0695690000007</v>
      </c>
      <c r="H246" s="201">
        <f t="shared" si="80"/>
        <v>6396.13</v>
      </c>
    </row>
    <row r="247" spans="1:8" outlineLevel="1" x14ac:dyDescent="0.25">
      <c r="A247" s="79"/>
      <c r="B247" s="79"/>
      <c r="C247" s="80" t="s">
        <v>14</v>
      </c>
      <c r="D247" s="79"/>
      <c r="E247" s="81"/>
      <c r="F247" s="203"/>
      <c r="G247" s="218"/>
      <c r="H247" s="218">
        <f>SUM(H243:H246)</f>
        <v>29516.210000000003</v>
      </c>
    </row>
    <row r="248" spans="1:8" outlineLevel="1" x14ac:dyDescent="0.25">
      <c r="A248" s="173" t="s">
        <v>335</v>
      </c>
      <c r="B248" s="173"/>
      <c r="C248" s="174" t="s">
        <v>778</v>
      </c>
      <c r="D248" s="173"/>
      <c r="E248" s="176"/>
      <c r="F248" s="206"/>
      <c r="G248" s="219"/>
      <c r="H248" s="206"/>
    </row>
    <row r="249" spans="1:8" ht="31.5" outlineLevel="2" x14ac:dyDescent="0.25">
      <c r="A249" s="68" t="s">
        <v>1017</v>
      </c>
      <c r="B249" s="115" t="s">
        <v>2752</v>
      </c>
      <c r="C249" s="116" t="s">
        <v>825</v>
      </c>
      <c r="D249" s="68" t="s">
        <v>106</v>
      </c>
      <c r="E249" s="70">
        <f>'ARQ - REFEITÓRIO'!F44</f>
        <v>346.11</v>
      </c>
      <c r="F249" s="201">
        <v>1.56</v>
      </c>
      <c r="G249" s="201">
        <f>F249*(1+$E$2)</f>
        <v>1.9769880000000002</v>
      </c>
      <c r="H249" s="201">
        <f>TRUNC((G249*E249),2)</f>
        <v>684.25</v>
      </c>
    </row>
    <row r="250" spans="1:8" ht="31.5" outlineLevel="2" x14ac:dyDescent="0.25">
      <c r="A250" s="68" t="s">
        <v>1035</v>
      </c>
      <c r="B250" s="68" t="s">
        <v>2082</v>
      </c>
      <c r="C250" s="69" t="s">
        <v>2753</v>
      </c>
      <c r="D250" s="68" t="s">
        <v>106</v>
      </c>
      <c r="E250" s="70">
        <f>'ARQ - REFEITÓRIO'!F45</f>
        <v>346.11</v>
      </c>
      <c r="F250" s="201">
        <v>13.06</v>
      </c>
      <c r="G250" s="201">
        <f t="shared" ref="G250" si="82">F250*(1+$E$2)</f>
        <v>16.550938000000002</v>
      </c>
      <c r="H250" s="201">
        <f t="shared" ref="H250:H255" si="83">TRUNC((G250*E250),2)</f>
        <v>5728.44</v>
      </c>
    </row>
    <row r="251" spans="1:8" ht="31.5" outlineLevel="2" x14ac:dyDescent="0.25">
      <c r="A251" s="68" t="s">
        <v>1036</v>
      </c>
      <c r="B251" s="115" t="s">
        <v>2747</v>
      </c>
      <c r="C251" s="116" t="s">
        <v>2748</v>
      </c>
      <c r="D251" s="68" t="s">
        <v>106</v>
      </c>
      <c r="E251" s="70">
        <f>'ARQ - REFEITÓRIO'!F46</f>
        <v>120.28</v>
      </c>
      <c r="F251" s="221">
        <v>7.8</v>
      </c>
      <c r="G251" s="201">
        <f t="shared" ref="G251:G255" si="84">F251*(1+$E$2)</f>
        <v>9.8849400000000003</v>
      </c>
      <c r="H251" s="201">
        <f t="shared" si="83"/>
        <v>1188.96</v>
      </c>
    </row>
    <row r="252" spans="1:8" ht="31.5" outlineLevel="2" x14ac:dyDescent="0.25">
      <c r="A252" s="68" t="s">
        <v>1037</v>
      </c>
      <c r="B252" s="68" t="s">
        <v>2751</v>
      </c>
      <c r="C252" s="69" t="s">
        <v>1900</v>
      </c>
      <c r="D252" s="68" t="s">
        <v>106</v>
      </c>
      <c r="E252" s="70">
        <f>'ARQ - REFEITÓRIO'!F47</f>
        <v>120.28</v>
      </c>
      <c r="F252" s="201">
        <v>11.68</v>
      </c>
      <c r="G252" s="201">
        <f t="shared" ref="G252" si="85">F252*(1+$E$2)</f>
        <v>14.802064000000001</v>
      </c>
      <c r="H252" s="201">
        <f t="shared" si="83"/>
        <v>1780.39</v>
      </c>
    </row>
    <row r="253" spans="1:8" ht="31.5" outlineLevel="2" x14ac:dyDescent="0.25">
      <c r="A253" s="68" t="s">
        <v>2199</v>
      </c>
      <c r="B253" s="115" t="s">
        <v>2754</v>
      </c>
      <c r="C253" s="116" t="s">
        <v>780</v>
      </c>
      <c r="D253" s="68" t="s">
        <v>106</v>
      </c>
      <c r="E253" s="70">
        <f>'ARQ - REFEITÓRIO'!F48</f>
        <v>346.11</v>
      </c>
      <c r="F253" s="201">
        <v>10.43</v>
      </c>
      <c r="G253" s="201">
        <f>F253*(1+$E$2)</f>
        <v>13.217939000000001</v>
      </c>
      <c r="H253" s="201">
        <f t="shared" si="83"/>
        <v>4574.8599999999997</v>
      </c>
    </row>
    <row r="254" spans="1:8" s="278" customFormat="1" outlineLevel="2" x14ac:dyDescent="0.25">
      <c r="A254" s="68" t="s">
        <v>2200</v>
      </c>
      <c r="B254" s="226" t="s">
        <v>2102</v>
      </c>
      <c r="C254" s="246" t="s">
        <v>2103</v>
      </c>
      <c r="D254" s="226" t="s">
        <v>106</v>
      </c>
      <c r="E254" s="70">
        <f>'ARQ - REFEITÓRIO'!F49</f>
        <v>18.420000000000002</v>
      </c>
      <c r="F254" s="221">
        <v>12.45</v>
      </c>
      <c r="G254" s="221">
        <f>F254*(1+$E$2)</f>
        <v>15.777884999999999</v>
      </c>
      <c r="H254" s="201">
        <f t="shared" si="83"/>
        <v>290.62</v>
      </c>
    </row>
    <row r="255" spans="1:8" s="278" customFormat="1" ht="31.5" outlineLevel="2" x14ac:dyDescent="0.25">
      <c r="A255" s="68" t="s">
        <v>2224</v>
      </c>
      <c r="B255" s="226">
        <v>95468</v>
      </c>
      <c r="C255" s="246" t="s">
        <v>3064</v>
      </c>
      <c r="D255" s="226" t="s">
        <v>106</v>
      </c>
      <c r="E255" s="70">
        <f>'ARQ - REFEITÓRIO'!F50</f>
        <v>36.96</v>
      </c>
      <c r="F255" s="221">
        <v>30.79</v>
      </c>
      <c r="G255" s="221">
        <f t="shared" si="84"/>
        <v>39.020167000000001</v>
      </c>
      <c r="H255" s="201">
        <f t="shared" si="83"/>
        <v>1442.18</v>
      </c>
    </row>
    <row r="256" spans="1:8" outlineLevel="1" x14ac:dyDescent="0.25">
      <c r="A256" s="79"/>
      <c r="B256" s="79"/>
      <c r="C256" s="80" t="s">
        <v>14</v>
      </c>
      <c r="D256" s="79"/>
      <c r="E256" s="81"/>
      <c r="F256" s="203"/>
      <c r="G256" s="218"/>
      <c r="H256" s="218">
        <f>SUM(H249:H255)</f>
        <v>15689.699999999999</v>
      </c>
    </row>
    <row r="257" spans="1:8" outlineLevel="1" x14ac:dyDescent="0.25">
      <c r="A257" s="173" t="s">
        <v>2327</v>
      </c>
      <c r="B257" s="173"/>
      <c r="C257" s="174" t="s">
        <v>81</v>
      </c>
      <c r="D257" s="173"/>
      <c r="E257" s="176"/>
      <c r="F257" s="206"/>
      <c r="G257" s="219"/>
      <c r="H257" s="206"/>
    </row>
    <row r="258" spans="1:8" ht="31.5" outlineLevel="2" x14ac:dyDescent="0.25">
      <c r="A258" s="68" t="s">
        <v>2328</v>
      </c>
      <c r="B258" s="68" t="s">
        <v>1904</v>
      </c>
      <c r="C258" s="69" t="s">
        <v>1903</v>
      </c>
      <c r="D258" s="68" t="s">
        <v>159</v>
      </c>
      <c r="E258" s="70">
        <f>'ARQ - REFEITÓRIO'!F53</f>
        <v>31.45</v>
      </c>
      <c r="F258" s="201">
        <v>109.41</v>
      </c>
      <c r="G258" s="201">
        <f t="shared" ref="G258" si="86">F258*(1+$E$2)</f>
        <v>138.655293</v>
      </c>
      <c r="H258" s="201">
        <f t="shared" ref="H258:H263" si="87">TRUNC((G258*E258),2)</f>
        <v>4360.7</v>
      </c>
    </row>
    <row r="259" spans="1:8" ht="47.25" customHeight="1" outlineLevel="2" x14ac:dyDescent="0.25">
      <c r="A259" s="68" t="s">
        <v>2329</v>
      </c>
      <c r="B259" s="68" t="s">
        <v>821</v>
      </c>
      <c r="C259" s="69" t="s">
        <v>822</v>
      </c>
      <c r="D259" s="68" t="s">
        <v>5</v>
      </c>
      <c r="E259" s="70">
        <f>'ARQ - REFEITÓRIO'!F54</f>
        <v>1</v>
      </c>
      <c r="F259" s="201">
        <v>6757.2</v>
      </c>
      <c r="G259" s="201">
        <f t="shared" ref="G259:G261" si="88">F259*(1+$E$2)</f>
        <v>8563.3995599999998</v>
      </c>
      <c r="H259" s="201">
        <f t="shared" si="87"/>
        <v>8563.39</v>
      </c>
    </row>
    <row r="260" spans="1:8" ht="31.5" customHeight="1" outlineLevel="2" x14ac:dyDescent="0.25">
      <c r="A260" s="68" t="s">
        <v>2330</v>
      </c>
      <c r="B260" s="68" t="s">
        <v>280</v>
      </c>
      <c r="C260" s="69" t="s">
        <v>801</v>
      </c>
      <c r="D260" s="68" t="s">
        <v>5</v>
      </c>
      <c r="E260" s="70">
        <f>'ARQ - REFEITÓRIO'!F56</f>
        <v>2</v>
      </c>
      <c r="F260" s="201">
        <v>262.07</v>
      </c>
      <c r="G260" s="201">
        <f t="shared" ref="G260" si="89">F260*(1+$E$2)</f>
        <v>332.12131099999999</v>
      </c>
      <c r="H260" s="201">
        <f t="shared" si="87"/>
        <v>664.24</v>
      </c>
    </row>
    <row r="261" spans="1:8" ht="31.5" customHeight="1" outlineLevel="2" x14ac:dyDescent="0.25">
      <c r="A261" s="68" t="s">
        <v>2331</v>
      </c>
      <c r="B261" s="68">
        <v>85005</v>
      </c>
      <c r="C261" s="69" t="s">
        <v>783</v>
      </c>
      <c r="D261" s="68" t="s">
        <v>159</v>
      </c>
      <c r="E261" s="70">
        <f>'ARQ - REFEITÓRIO'!F57</f>
        <v>0.5</v>
      </c>
      <c r="F261" s="201">
        <v>378.18</v>
      </c>
      <c r="G261" s="201">
        <f t="shared" si="88"/>
        <v>479.26751400000006</v>
      </c>
      <c r="H261" s="201">
        <f t="shared" si="87"/>
        <v>239.63</v>
      </c>
    </row>
    <row r="262" spans="1:8" ht="31.5" customHeight="1" outlineLevel="2" x14ac:dyDescent="0.25">
      <c r="A262" s="68" t="s">
        <v>2332</v>
      </c>
      <c r="B262" s="68" t="s">
        <v>1990</v>
      </c>
      <c r="C262" s="69" t="s">
        <v>1989</v>
      </c>
      <c r="D262" s="68" t="s">
        <v>99</v>
      </c>
      <c r="E262" s="70">
        <f>'ARQ - REFEITÓRIO'!F58</f>
        <v>171.6</v>
      </c>
      <c r="F262" s="201">
        <v>35.340000000000003</v>
      </c>
      <c r="G262" s="201">
        <f t="shared" ref="G262" si="90">F262*(1+$E$2)</f>
        <v>44.78638200000001</v>
      </c>
      <c r="H262" s="201">
        <f t="shared" si="87"/>
        <v>7685.34</v>
      </c>
    </row>
    <row r="263" spans="1:8" s="71" customFormat="1" ht="31.5" outlineLevel="2" x14ac:dyDescent="0.25">
      <c r="A263" s="68" t="s">
        <v>2625</v>
      </c>
      <c r="B263" s="68">
        <v>86957</v>
      </c>
      <c r="C263" s="69" t="s">
        <v>812</v>
      </c>
      <c r="D263" s="68" t="s">
        <v>5</v>
      </c>
      <c r="E263" s="70">
        <f>'ARQ - REFEITÓRIO'!F59</f>
        <v>24</v>
      </c>
      <c r="F263" s="221">
        <v>26.37</v>
      </c>
      <c r="G263" s="201">
        <f>F263*(1+$E$2)</f>
        <v>33.418701000000006</v>
      </c>
      <c r="H263" s="201">
        <f t="shared" si="87"/>
        <v>802.04</v>
      </c>
    </row>
    <row r="264" spans="1:8" outlineLevel="1" x14ac:dyDescent="0.25">
      <c r="A264" s="122"/>
      <c r="B264" s="79"/>
      <c r="C264" s="80" t="s">
        <v>14</v>
      </c>
      <c r="D264" s="79"/>
      <c r="E264" s="81"/>
      <c r="F264" s="203"/>
      <c r="G264" s="218"/>
      <c r="H264" s="218">
        <f>SUM(H258:H263)</f>
        <v>22315.34</v>
      </c>
    </row>
    <row r="265" spans="1:8" outlineLevel="1" x14ac:dyDescent="0.25">
      <c r="A265" s="173" t="s">
        <v>336</v>
      </c>
      <c r="B265" s="173"/>
      <c r="C265" s="174" t="s">
        <v>13</v>
      </c>
      <c r="D265" s="173"/>
      <c r="E265" s="176"/>
      <c r="F265" s="206"/>
      <c r="G265" s="219"/>
      <c r="H265" s="206"/>
    </row>
    <row r="266" spans="1:8" outlineLevel="2" x14ac:dyDescent="0.25">
      <c r="A266" s="68" t="s">
        <v>1038</v>
      </c>
      <c r="B266" s="68">
        <v>9537</v>
      </c>
      <c r="C266" s="69" t="s">
        <v>785</v>
      </c>
      <c r="D266" s="68" t="s">
        <v>159</v>
      </c>
      <c r="E266" s="70">
        <f>'ARQ - REFEITÓRIO'!F65</f>
        <v>378.45</v>
      </c>
      <c r="F266" s="201">
        <v>2.09</v>
      </c>
      <c r="G266" s="201">
        <f t="shared" ref="G266" si="91">F266*(1+$E$2)</f>
        <v>2.648657</v>
      </c>
      <c r="H266" s="201">
        <f t="shared" ref="H266" si="92">TRUNC((G266*E266),2)</f>
        <v>1002.38</v>
      </c>
    </row>
    <row r="267" spans="1:8" outlineLevel="1" x14ac:dyDescent="0.25">
      <c r="A267" s="122"/>
      <c r="B267" s="79"/>
      <c r="C267" s="80" t="s">
        <v>14</v>
      </c>
      <c r="D267" s="79"/>
      <c r="E267" s="81"/>
      <c r="F267" s="203"/>
      <c r="G267" s="218"/>
      <c r="H267" s="218">
        <f>SUM(H266)</f>
        <v>1002.38</v>
      </c>
    </row>
    <row r="268" spans="1:8" x14ac:dyDescent="0.25">
      <c r="A268" s="66"/>
      <c r="B268" s="66"/>
      <c r="C268" s="67" t="s">
        <v>621</v>
      </c>
      <c r="D268" s="66"/>
      <c r="E268" s="276"/>
      <c r="F268" s="204"/>
      <c r="G268" s="202"/>
      <c r="H268" s="204">
        <f>H169+H188+H194+H206+H213+H221+H227+H236+H241+H247+H256+H264+H267</f>
        <v>540559.69999999995</v>
      </c>
    </row>
    <row r="269" spans="1:8" x14ac:dyDescent="0.25">
      <c r="A269" s="699" t="s">
        <v>1907</v>
      </c>
      <c r="B269" s="699"/>
      <c r="C269" s="699"/>
      <c r="D269" s="699"/>
      <c r="E269" s="699"/>
      <c r="F269" s="699"/>
      <c r="G269" s="699"/>
      <c r="H269" s="699"/>
    </row>
    <row r="270" spans="1:8" ht="15.75" customHeight="1" outlineLevel="1" x14ac:dyDescent="0.25">
      <c r="A270" s="170" t="s">
        <v>169</v>
      </c>
      <c r="B270" s="170"/>
      <c r="C270" s="171" t="s">
        <v>512</v>
      </c>
      <c r="D270" s="170"/>
      <c r="E270" s="70"/>
      <c r="F270" s="208"/>
      <c r="G270" s="201"/>
      <c r="H270" s="209"/>
    </row>
    <row r="271" spans="1:8" ht="15.75" customHeight="1" outlineLevel="2" x14ac:dyDescent="0.25">
      <c r="A271" s="68" t="s">
        <v>3285</v>
      </c>
      <c r="B271" s="68" t="s">
        <v>640</v>
      </c>
      <c r="C271" s="69" t="s">
        <v>639</v>
      </c>
      <c r="D271" s="68" t="s">
        <v>273</v>
      </c>
      <c r="E271" s="70">
        <f>'EST - QUADRA'!I4</f>
        <v>626.73</v>
      </c>
      <c r="F271" s="201">
        <v>27.41</v>
      </c>
      <c r="G271" s="201">
        <f t="shared" ref="G271:G272" si="93">F271*(1+$E$2)</f>
        <v>34.736693000000002</v>
      </c>
      <c r="H271" s="201">
        <f>TRUNC((G271*E271),2)</f>
        <v>21770.52</v>
      </c>
    </row>
    <row r="272" spans="1:8" ht="47.25" customHeight="1" outlineLevel="2" x14ac:dyDescent="0.25">
      <c r="A272" s="68" t="s">
        <v>2333</v>
      </c>
      <c r="B272" s="68" t="s">
        <v>155</v>
      </c>
      <c r="C272" s="69" t="s">
        <v>501</v>
      </c>
      <c r="D272" s="68" t="s">
        <v>273</v>
      </c>
      <c r="E272" s="70">
        <f>'EST - QUADRA'!I6</f>
        <v>626.73</v>
      </c>
      <c r="F272" s="201">
        <v>4.7699999999999996</v>
      </c>
      <c r="G272" s="201">
        <f t="shared" si="93"/>
        <v>6.0450210000000002</v>
      </c>
      <c r="H272" s="201">
        <f>TRUNC((G272*E272),2)</f>
        <v>3788.59</v>
      </c>
    </row>
    <row r="273" spans="1:8" ht="15.75" customHeight="1" outlineLevel="1" x14ac:dyDescent="0.25">
      <c r="A273" s="79"/>
      <c r="B273" s="79"/>
      <c r="C273" s="80" t="s">
        <v>14</v>
      </c>
      <c r="D273" s="79"/>
      <c r="E273" s="81"/>
      <c r="F273" s="203"/>
      <c r="G273" s="203"/>
      <c r="H273" s="218">
        <f>SUM(H271:H272)</f>
        <v>25559.11</v>
      </c>
    </row>
    <row r="274" spans="1:8" outlineLevel="1" x14ac:dyDescent="0.25">
      <c r="A274" s="173" t="s">
        <v>170</v>
      </c>
      <c r="B274" s="173"/>
      <c r="C274" s="174" t="s">
        <v>156</v>
      </c>
      <c r="D274" s="173"/>
      <c r="E274" s="175"/>
      <c r="F274" s="205"/>
      <c r="G274" s="201"/>
      <c r="H274" s="206"/>
    </row>
    <row r="275" spans="1:8" ht="63" outlineLevel="2" x14ac:dyDescent="0.25">
      <c r="A275" s="68" t="s">
        <v>1039</v>
      </c>
      <c r="B275" s="68" t="s">
        <v>2761</v>
      </c>
      <c r="C275" s="69" t="s">
        <v>633</v>
      </c>
      <c r="D275" s="68" t="s">
        <v>99</v>
      </c>
      <c r="E275" s="70">
        <f>'EST - QUADRA'!I9</f>
        <v>720</v>
      </c>
      <c r="F275" s="221">
        <v>67.56</v>
      </c>
      <c r="G275" s="201">
        <f t="shared" ref="G275:G292" si="94">F275*(1+$E$2)</f>
        <v>85.618788000000009</v>
      </c>
      <c r="H275" s="201">
        <f t="shared" ref="H275:H292" si="95">TRUNC((G275*E275),2)</f>
        <v>61645.52</v>
      </c>
    </row>
    <row r="276" spans="1:8" ht="47.25" outlineLevel="2" x14ac:dyDescent="0.25">
      <c r="A276" s="68" t="s">
        <v>1040</v>
      </c>
      <c r="B276" s="68" t="s">
        <v>2706</v>
      </c>
      <c r="C276" s="69" t="s">
        <v>502</v>
      </c>
      <c r="D276" s="68" t="s">
        <v>273</v>
      </c>
      <c r="E276" s="70">
        <f>'EST - QUADRA'!I12</f>
        <v>88.350000000000009</v>
      </c>
      <c r="F276" s="201">
        <v>10.44</v>
      </c>
      <c r="G276" s="201">
        <f t="shared" si="94"/>
        <v>13.230612000000001</v>
      </c>
      <c r="H276" s="201">
        <f t="shared" si="95"/>
        <v>1168.92</v>
      </c>
    </row>
    <row r="277" spans="1:8" outlineLevel="2" x14ac:dyDescent="0.25">
      <c r="A277" s="68" t="s">
        <v>2334</v>
      </c>
      <c r="B277" s="68" t="s">
        <v>2707</v>
      </c>
      <c r="C277" s="69" t="s">
        <v>503</v>
      </c>
      <c r="D277" s="226" t="s">
        <v>273</v>
      </c>
      <c r="E277" s="70">
        <f>'EST - QUADRA'!I13</f>
        <v>71.887320000000017</v>
      </c>
      <c r="F277" s="201">
        <v>54.9</v>
      </c>
      <c r="G277" s="201">
        <f t="shared" si="94"/>
        <v>69.574770000000001</v>
      </c>
      <c r="H277" s="201">
        <f t="shared" si="95"/>
        <v>5001.54</v>
      </c>
    </row>
    <row r="278" spans="1:8" ht="47.25" outlineLevel="2" x14ac:dyDescent="0.25">
      <c r="A278" s="68" t="s">
        <v>2335</v>
      </c>
      <c r="B278" s="68" t="s">
        <v>2708</v>
      </c>
      <c r="C278" s="69" t="s">
        <v>504</v>
      </c>
      <c r="D278" s="68" t="s">
        <v>106</v>
      </c>
      <c r="E278" s="70">
        <f>'EST - QUADRA'!I14+'EST - QUADRA'!I15</f>
        <v>173.94960000000003</v>
      </c>
      <c r="F278" s="201">
        <v>4.18</v>
      </c>
      <c r="G278" s="201">
        <f t="shared" si="94"/>
        <v>5.2973140000000001</v>
      </c>
      <c r="H278" s="201">
        <f t="shared" si="95"/>
        <v>921.46</v>
      </c>
    </row>
    <row r="279" spans="1:8" ht="31.5" outlineLevel="2" x14ac:dyDescent="0.25">
      <c r="A279" s="68" t="s">
        <v>2336</v>
      </c>
      <c r="B279" s="68" t="s">
        <v>2709</v>
      </c>
      <c r="C279" s="69" t="s">
        <v>505</v>
      </c>
      <c r="D279" s="226" t="s">
        <v>106</v>
      </c>
      <c r="E279" s="70">
        <f>'EST - QUADRA'!I16+'EST - QUADRA'!I17</f>
        <v>173.94960000000003</v>
      </c>
      <c r="F279" s="201">
        <v>19.12</v>
      </c>
      <c r="G279" s="201">
        <f t="shared" si="94"/>
        <v>24.230776000000002</v>
      </c>
      <c r="H279" s="201">
        <f t="shared" si="95"/>
        <v>4214.93</v>
      </c>
    </row>
    <row r="280" spans="1:8" ht="31.5" outlineLevel="2" x14ac:dyDescent="0.25">
      <c r="A280" s="68" t="s">
        <v>2337</v>
      </c>
      <c r="B280" s="68" t="s">
        <v>2710</v>
      </c>
      <c r="C280" s="69" t="s">
        <v>513</v>
      </c>
      <c r="D280" s="68" t="s">
        <v>106</v>
      </c>
      <c r="E280" s="70">
        <f>'EST - QUADRA'!I31+'EST - QUADRA'!I38</f>
        <v>359.6</v>
      </c>
      <c r="F280" s="201">
        <v>45.06</v>
      </c>
      <c r="G280" s="201">
        <f t="shared" si="94"/>
        <v>57.104538000000005</v>
      </c>
      <c r="H280" s="201">
        <f t="shared" si="95"/>
        <v>20534.79</v>
      </c>
    </row>
    <row r="281" spans="1:8" ht="47.25" outlineLevel="2" x14ac:dyDescent="0.25">
      <c r="A281" s="68" t="s">
        <v>2338</v>
      </c>
      <c r="B281" s="68" t="s">
        <v>79</v>
      </c>
      <c r="C281" s="69" t="s">
        <v>515</v>
      </c>
      <c r="D281" s="68" t="s">
        <v>273</v>
      </c>
      <c r="E281" s="70">
        <f>'EST - QUADRA'!I32+'EST - QUADRA'!I39</f>
        <v>44.5</v>
      </c>
      <c r="F281" s="201">
        <v>294.68</v>
      </c>
      <c r="G281" s="201">
        <f t="shared" si="94"/>
        <v>373.44796400000001</v>
      </c>
      <c r="H281" s="201">
        <f t="shared" si="95"/>
        <v>16618.43</v>
      </c>
    </row>
    <row r="282" spans="1:8" ht="31.5" outlineLevel="2" x14ac:dyDescent="0.25">
      <c r="A282" s="68" t="s">
        <v>2339</v>
      </c>
      <c r="B282" s="68" t="s">
        <v>2711</v>
      </c>
      <c r="C282" s="69" t="s">
        <v>514</v>
      </c>
      <c r="D282" s="68" t="s">
        <v>273</v>
      </c>
      <c r="E282" s="70">
        <f>'EST - QUADRA'!I33+'EST - QUADRA'!I40</f>
        <v>44.5</v>
      </c>
      <c r="F282" s="201">
        <v>23.69</v>
      </c>
      <c r="G282" s="201">
        <f t="shared" si="94"/>
        <v>30.022337000000004</v>
      </c>
      <c r="H282" s="201">
        <f t="shared" si="95"/>
        <v>1335.99</v>
      </c>
    </row>
    <row r="283" spans="1:8" ht="69" customHeight="1" outlineLevel="2" x14ac:dyDescent="0.25">
      <c r="A283" s="68" t="s">
        <v>2340</v>
      </c>
      <c r="B283" s="68" t="s">
        <v>517</v>
      </c>
      <c r="C283" s="69" t="s">
        <v>516</v>
      </c>
      <c r="D283" s="68" t="s">
        <v>92</v>
      </c>
      <c r="E283" s="70">
        <f>'EST - QUADRA'!I35+'EST - QUADRA'!I43</f>
        <v>510</v>
      </c>
      <c r="F283" s="201">
        <v>7.55</v>
      </c>
      <c r="G283" s="201">
        <f t="shared" si="94"/>
        <v>9.5681150000000006</v>
      </c>
      <c r="H283" s="201">
        <f t="shared" si="95"/>
        <v>4879.7299999999996</v>
      </c>
    </row>
    <row r="284" spans="1:8" ht="63" outlineLevel="2" x14ac:dyDescent="0.25">
      <c r="A284" s="68" t="s">
        <v>2341</v>
      </c>
      <c r="B284" s="68" t="s">
        <v>519</v>
      </c>
      <c r="C284" s="69" t="s">
        <v>518</v>
      </c>
      <c r="D284" s="68" t="s">
        <v>92</v>
      </c>
      <c r="E284" s="70">
        <f>'EST - QUADRA'!I36+'EST - QUADRA'!I44</f>
        <v>242.99</v>
      </c>
      <c r="F284" s="201">
        <v>6.28</v>
      </c>
      <c r="G284" s="201">
        <f t="shared" si="94"/>
        <v>7.9586440000000005</v>
      </c>
      <c r="H284" s="201">
        <f t="shared" si="95"/>
        <v>1933.87</v>
      </c>
    </row>
    <row r="285" spans="1:8" ht="63" outlineLevel="2" x14ac:dyDescent="0.25">
      <c r="A285" s="68" t="s">
        <v>2342</v>
      </c>
      <c r="B285" s="68" t="s">
        <v>521</v>
      </c>
      <c r="C285" s="69" t="s">
        <v>520</v>
      </c>
      <c r="D285" s="68" t="s">
        <v>92</v>
      </c>
      <c r="E285" s="70">
        <f>'EST - QUADRA'!I41+'EST - QUADRA'!I10</f>
        <v>757</v>
      </c>
      <c r="F285" s="201">
        <v>10.97</v>
      </c>
      <c r="G285" s="201">
        <f t="shared" si="94"/>
        <v>13.902281000000002</v>
      </c>
      <c r="H285" s="201">
        <f t="shared" si="95"/>
        <v>10524.02</v>
      </c>
    </row>
    <row r="286" spans="1:8" ht="63" outlineLevel="2" x14ac:dyDescent="0.25">
      <c r="A286" s="68" t="s">
        <v>2343</v>
      </c>
      <c r="B286" s="68" t="s">
        <v>523</v>
      </c>
      <c r="C286" s="69" t="s">
        <v>522</v>
      </c>
      <c r="D286" s="68" t="s">
        <v>92</v>
      </c>
      <c r="E286" s="70">
        <f>'EST - QUADRA'!I34</f>
        <v>388.52</v>
      </c>
      <c r="F286" s="201">
        <v>9.9600000000000009</v>
      </c>
      <c r="G286" s="201">
        <f t="shared" si="94"/>
        <v>12.622308000000002</v>
      </c>
      <c r="H286" s="201">
        <f t="shared" si="95"/>
        <v>4904.01</v>
      </c>
    </row>
    <row r="287" spans="1:8" ht="63" outlineLevel="2" x14ac:dyDescent="0.25">
      <c r="A287" s="68" t="s">
        <v>2344</v>
      </c>
      <c r="B287" s="68" t="s">
        <v>525</v>
      </c>
      <c r="C287" s="69" t="s">
        <v>524</v>
      </c>
      <c r="D287" s="68" t="s">
        <v>92</v>
      </c>
      <c r="E287" s="70">
        <f>'EST - QUADRA'!I42+'EST - QUADRA'!I11</f>
        <v>1548.6</v>
      </c>
      <c r="F287" s="201">
        <v>9.41</v>
      </c>
      <c r="G287" s="201">
        <f t="shared" si="94"/>
        <v>11.925293000000002</v>
      </c>
      <c r="H287" s="201">
        <f t="shared" si="95"/>
        <v>18467.5</v>
      </c>
    </row>
    <row r="288" spans="1:8" ht="71.25" customHeight="1" outlineLevel="2" x14ac:dyDescent="0.25">
      <c r="A288" s="68" t="s">
        <v>2345</v>
      </c>
      <c r="B288" s="68" t="s">
        <v>2762</v>
      </c>
      <c r="C288" s="69" t="s">
        <v>2763</v>
      </c>
      <c r="D288" s="68" t="s">
        <v>92</v>
      </c>
      <c r="E288" s="70">
        <f>'EST - QUADRA'!I45</f>
        <v>18</v>
      </c>
      <c r="F288" s="201">
        <v>4.84</v>
      </c>
      <c r="G288" s="201">
        <f t="shared" si="94"/>
        <v>6.1337320000000002</v>
      </c>
      <c r="H288" s="201">
        <f t="shared" si="95"/>
        <v>110.4</v>
      </c>
    </row>
    <row r="289" spans="1:8" outlineLevel="2" x14ac:dyDescent="0.25">
      <c r="A289" s="68" t="s">
        <v>2346</v>
      </c>
      <c r="B289" s="68" t="s">
        <v>259</v>
      </c>
      <c r="C289" s="69" t="s">
        <v>506</v>
      </c>
      <c r="D289" s="68" t="s">
        <v>273</v>
      </c>
      <c r="E289" s="70">
        <f>'EST - QUADRA'!I18+'EST - QUADRA'!I19</f>
        <v>104.53984000000003</v>
      </c>
      <c r="F289" s="201">
        <v>41.64</v>
      </c>
      <c r="G289" s="201">
        <f t="shared" si="94"/>
        <v>52.770372000000002</v>
      </c>
      <c r="H289" s="201">
        <f t="shared" si="95"/>
        <v>5516.6</v>
      </c>
    </row>
    <row r="290" spans="1:8" ht="63" outlineLevel="2" x14ac:dyDescent="0.25">
      <c r="A290" s="68" t="s">
        <v>2347</v>
      </c>
      <c r="B290" s="68" t="s">
        <v>508</v>
      </c>
      <c r="C290" s="69" t="s">
        <v>507</v>
      </c>
      <c r="D290" s="68" t="s">
        <v>273</v>
      </c>
      <c r="E290" s="70">
        <f>'EST - QUADRA'!I20+'EST - QUADRA'!I21</f>
        <v>57.850000000000009</v>
      </c>
      <c r="F290" s="201">
        <v>1.44</v>
      </c>
      <c r="G290" s="201">
        <f t="shared" si="94"/>
        <v>1.8249120000000001</v>
      </c>
      <c r="H290" s="201">
        <f t="shared" si="95"/>
        <v>105.57</v>
      </c>
    </row>
    <row r="291" spans="1:8" ht="39" customHeight="1" outlineLevel="2" x14ac:dyDescent="0.25">
      <c r="A291" s="68" t="s">
        <v>2348</v>
      </c>
      <c r="B291" s="68" t="s">
        <v>2703</v>
      </c>
      <c r="C291" s="69" t="s">
        <v>509</v>
      </c>
      <c r="D291" s="68" t="s">
        <v>2696</v>
      </c>
      <c r="E291" s="70">
        <f>E290*10</f>
        <v>578.50000000000011</v>
      </c>
      <c r="F291" s="201">
        <v>1.2</v>
      </c>
      <c r="G291" s="201">
        <f t="shared" si="94"/>
        <v>1.5207600000000001</v>
      </c>
      <c r="H291" s="201">
        <f t="shared" si="95"/>
        <v>879.75</v>
      </c>
    </row>
    <row r="292" spans="1:8" ht="31.5" outlineLevel="2" x14ac:dyDescent="0.25">
      <c r="A292" s="68" t="s">
        <v>2349</v>
      </c>
      <c r="B292" s="68" t="s">
        <v>152</v>
      </c>
      <c r="C292" s="69" t="s">
        <v>510</v>
      </c>
      <c r="D292" s="68" t="s">
        <v>106</v>
      </c>
      <c r="E292" s="70">
        <f>'EST - QUADRA'!I22</f>
        <v>246.2</v>
      </c>
      <c r="F292" s="201">
        <v>8.6</v>
      </c>
      <c r="G292" s="201">
        <f t="shared" si="94"/>
        <v>10.89878</v>
      </c>
      <c r="H292" s="201">
        <f t="shared" si="95"/>
        <v>2683.27</v>
      </c>
    </row>
    <row r="293" spans="1:8" outlineLevel="1" x14ac:dyDescent="0.25">
      <c r="A293" s="79"/>
      <c r="B293" s="79"/>
      <c r="C293" s="80" t="s">
        <v>14</v>
      </c>
      <c r="D293" s="79"/>
      <c r="E293" s="81"/>
      <c r="F293" s="203"/>
      <c r="G293" s="218"/>
      <c r="H293" s="218">
        <f>SUM(H275:H292)</f>
        <v>161446.29999999999</v>
      </c>
    </row>
    <row r="294" spans="1:8" outlineLevel="1" x14ac:dyDescent="0.25">
      <c r="A294" s="173" t="s">
        <v>171</v>
      </c>
      <c r="B294" s="173"/>
      <c r="C294" s="174" t="s">
        <v>157</v>
      </c>
      <c r="D294" s="173"/>
      <c r="E294" s="175"/>
      <c r="F294" s="205"/>
      <c r="G294" s="219"/>
      <c r="H294" s="206"/>
    </row>
    <row r="295" spans="1:8" ht="63" outlineLevel="2" x14ac:dyDescent="0.25">
      <c r="A295" s="68" t="s">
        <v>1041</v>
      </c>
      <c r="B295" s="68" t="s">
        <v>2712</v>
      </c>
      <c r="C295" s="69" t="s">
        <v>532</v>
      </c>
      <c r="D295" s="68" t="s">
        <v>106</v>
      </c>
      <c r="E295" s="70">
        <f>'EST - QUADRA'!I49</f>
        <v>529.19999999999993</v>
      </c>
      <c r="F295" s="201">
        <v>85.43</v>
      </c>
      <c r="G295" s="201">
        <f t="shared" ref="G295:G303" si="96">F295*(1+$E$2)</f>
        <v>108.26543900000001</v>
      </c>
      <c r="H295" s="201">
        <f t="shared" ref="H295:H303" si="97">TRUNC((G295*E295),2)</f>
        <v>57294.07</v>
      </c>
    </row>
    <row r="296" spans="1:8" ht="63" outlineLevel="2" x14ac:dyDescent="0.25">
      <c r="A296" s="68" t="s">
        <v>1042</v>
      </c>
      <c r="B296" s="68" t="s">
        <v>2713</v>
      </c>
      <c r="C296" s="116" t="s">
        <v>2714</v>
      </c>
      <c r="D296" s="68" t="s">
        <v>273</v>
      </c>
      <c r="E296" s="70">
        <f>'EST - QUADRA'!I50</f>
        <v>47.099999999999994</v>
      </c>
      <c r="F296" s="201">
        <v>468.39</v>
      </c>
      <c r="G296" s="201">
        <f t="shared" si="96"/>
        <v>593.59064699999999</v>
      </c>
      <c r="H296" s="201">
        <f t="shared" si="97"/>
        <v>27958.11</v>
      </c>
    </row>
    <row r="297" spans="1:8" ht="63" outlineLevel="2" x14ac:dyDescent="0.25">
      <c r="A297" s="68" t="s">
        <v>1043</v>
      </c>
      <c r="B297" s="68" t="s">
        <v>2715</v>
      </c>
      <c r="C297" s="116" t="s">
        <v>533</v>
      </c>
      <c r="D297" s="68" t="s">
        <v>92</v>
      </c>
      <c r="E297" s="70">
        <f>'EST - QUADRA'!I52</f>
        <v>792</v>
      </c>
      <c r="F297" s="201">
        <v>11.94</v>
      </c>
      <c r="G297" s="201">
        <f t="shared" si="96"/>
        <v>15.131562000000001</v>
      </c>
      <c r="H297" s="201">
        <f t="shared" si="97"/>
        <v>11984.19</v>
      </c>
    </row>
    <row r="298" spans="1:8" ht="63" outlineLevel="2" x14ac:dyDescent="0.25">
      <c r="A298" s="68" t="s">
        <v>1044</v>
      </c>
      <c r="B298" s="68" t="s">
        <v>2722</v>
      </c>
      <c r="C298" s="69" t="s">
        <v>534</v>
      </c>
      <c r="D298" s="68" t="s">
        <v>92</v>
      </c>
      <c r="E298" s="70">
        <f>'EST - QUADRA'!I53</f>
        <v>196</v>
      </c>
      <c r="F298" s="201">
        <v>10.7</v>
      </c>
      <c r="G298" s="201">
        <f t="shared" si="96"/>
        <v>13.56011</v>
      </c>
      <c r="H298" s="201">
        <f t="shared" si="97"/>
        <v>2657.78</v>
      </c>
    </row>
    <row r="299" spans="1:8" ht="63" outlineLevel="2" x14ac:dyDescent="0.25">
      <c r="A299" s="68" t="s">
        <v>1045</v>
      </c>
      <c r="B299" s="68" t="s">
        <v>2716</v>
      </c>
      <c r="C299" s="69" t="s">
        <v>535</v>
      </c>
      <c r="D299" s="68" t="s">
        <v>92</v>
      </c>
      <c r="E299" s="70">
        <f>'EST - QUADRA'!I54</f>
        <v>47</v>
      </c>
      <c r="F299" s="201">
        <v>9.9700000000000006</v>
      </c>
      <c r="G299" s="201">
        <f t="shared" si="96"/>
        <v>12.634981000000002</v>
      </c>
      <c r="H299" s="201">
        <f t="shared" si="97"/>
        <v>593.84</v>
      </c>
    </row>
    <row r="300" spans="1:8" ht="63" outlineLevel="2" x14ac:dyDescent="0.25">
      <c r="A300" s="68" t="s">
        <v>1046</v>
      </c>
      <c r="B300" s="68" t="s">
        <v>2717</v>
      </c>
      <c r="C300" s="69" t="s">
        <v>536</v>
      </c>
      <c r="D300" s="68" t="s">
        <v>92</v>
      </c>
      <c r="E300" s="70">
        <f>'EST - QUADRA'!I55</f>
        <v>801</v>
      </c>
      <c r="F300" s="201">
        <v>8.02</v>
      </c>
      <c r="G300" s="201">
        <f t="shared" si="96"/>
        <v>10.163746</v>
      </c>
      <c r="H300" s="201">
        <f t="shared" si="97"/>
        <v>8141.16</v>
      </c>
    </row>
    <row r="301" spans="1:8" ht="63" outlineLevel="2" x14ac:dyDescent="0.25">
      <c r="A301" s="68" t="s">
        <v>1047</v>
      </c>
      <c r="B301" s="68" t="s">
        <v>2718</v>
      </c>
      <c r="C301" s="138" t="s">
        <v>584</v>
      </c>
      <c r="D301" s="68" t="s">
        <v>92</v>
      </c>
      <c r="E301" s="70">
        <f>'EST - QUADRA'!I56</f>
        <v>955</v>
      </c>
      <c r="F301" s="201">
        <v>6.57</v>
      </c>
      <c r="G301" s="201">
        <f t="shared" si="96"/>
        <v>8.3261610000000008</v>
      </c>
      <c r="H301" s="201">
        <f t="shared" si="97"/>
        <v>7951.48</v>
      </c>
    </row>
    <row r="302" spans="1:8" ht="63" outlineLevel="2" x14ac:dyDescent="0.25">
      <c r="A302" s="68" t="s">
        <v>1048</v>
      </c>
      <c r="B302" s="68" t="s">
        <v>2719</v>
      </c>
      <c r="C302" s="69" t="s">
        <v>537</v>
      </c>
      <c r="D302" s="68" t="s">
        <v>92</v>
      </c>
      <c r="E302" s="70">
        <f>'EST - QUADRA'!I57</f>
        <v>569</v>
      </c>
      <c r="F302" s="201">
        <v>5.0599999999999996</v>
      </c>
      <c r="G302" s="201">
        <f t="shared" si="96"/>
        <v>6.4125379999999996</v>
      </c>
      <c r="H302" s="201">
        <f t="shared" si="97"/>
        <v>3648.73</v>
      </c>
    </row>
    <row r="303" spans="1:8" ht="63" outlineLevel="2" x14ac:dyDescent="0.25">
      <c r="A303" s="68" t="s">
        <v>1049</v>
      </c>
      <c r="B303" s="68" t="s">
        <v>2764</v>
      </c>
      <c r="C303" s="69" t="s">
        <v>538</v>
      </c>
      <c r="D303" s="68" t="s">
        <v>92</v>
      </c>
      <c r="E303" s="70">
        <f>'EST - QUADRA'!I58</f>
        <v>1852</v>
      </c>
      <c r="F303" s="201">
        <v>4.7</v>
      </c>
      <c r="G303" s="201">
        <f t="shared" si="96"/>
        <v>5.9563100000000011</v>
      </c>
      <c r="H303" s="201">
        <f t="shared" si="97"/>
        <v>11031.08</v>
      </c>
    </row>
    <row r="304" spans="1:8" outlineLevel="1" x14ac:dyDescent="0.25">
      <c r="A304" s="79"/>
      <c r="B304" s="79"/>
      <c r="C304" s="80" t="s">
        <v>14</v>
      </c>
      <c r="D304" s="79"/>
      <c r="E304" s="81"/>
      <c r="F304" s="203"/>
      <c r="G304" s="218"/>
      <c r="H304" s="218">
        <f>SUM(H295:H303)</f>
        <v>131260.43999999997</v>
      </c>
    </row>
    <row r="305" spans="1:8" outlineLevel="1" x14ac:dyDescent="0.25">
      <c r="A305" s="173" t="s">
        <v>172</v>
      </c>
      <c r="B305" s="173"/>
      <c r="C305" s="174" t="s">
        <v>158</v>
      </c>
      <c r="D305" s="173"/>
      <c r="E305" s="175"/>
      <c r="F305" s="205"/>
      <c r="G305" s="219"/>
      <c r="H305" s="206"/>
    </row>
    <row r="306" spans="1:8" ht="47.25" outlineLevel="2" x14ac:dyDescent="0.25">
      <c r="A306" s="68" t="s">
        <v>1050</v>
      </c>
      <c r="B306" s="68" t="s">
        <v>2720</v>
      </c>
      <c r="C306" s="69" t="s">
        <v>539</v>
      </c>
      <c r="D306" s="68" t="s">
        <v>106</v>
      </c>
      <c r="E306" s="70">
        <f>'EST - QUADRA'!I60</f>
        <v>669.2</v>
      </c>
      <c r="F306" s="201">
        <v>78.98</v>
      </c>
      <c r="G306" s="201">
        <f t="shared" ref="G306:G312" si="98">F306*(1+$E$2)</f>
        <v>100.09135400000001</v>
      </c>
      <c r="H306" s="201">
        <f t="shared" ref="H306:H314" si="99">TRUNC((G306*E306),2)</f>
        <v>66981.13</v>
      </c>
    </row>
    <row r="307" spans="1:8" ht="47.25" outlineLevel="2" x14ac:dyDescent="0.25">
      <c r="A307" s="68" t="s">
        <v>1051</v>
      </c>
      <c r="B307" s="68" t="s">
        <v>79</v>
      </c>
      <c r="C307" s="69" t="s">
        <v>515</v>
      </c>
      <c r="D307" s="68" t="s">
        <v>273</v>
      </c>
      <c r="E307" s="70">
        <f>'EST - QUADRA'!I61</f>
        <v>56.5</v>
      </c>
      <c r="F307" s="201">
        <v>294.68</v>
      </c>
      <c r="G307" s="201">
        <f t="shared" si="98"/>
        <v>373.44796400000001</v>
      </c>
      <c r="H307" s="201">
        <f t="shared" si="99"/>
        <v>21099.8</v>
      </c>
    </row>
    <row r="308" spans="1:8" ht="31.5" outlineLevel="2" x14ac:dyDescent="0.25">
      <c r="A308" s="68" t="s">
        <v>1052</v>
      </c>
      <c r="B308" s="68" t="s">
        <v>2721</v>
      </c>
      <c r="C308" s="69" t="s">
        <v>540</v>
      </c>
      <c r="D308" s="68" t="s">
        <v>273</v>
      </c>
      <c r="E308" s="70">
        <f>'EST - QUADRA'!I62</f>
        <v>56.5</v>
      </c>
      <c r="F308" s="201">
        <v>143.36000000000001</v>
      </c>
      <c r="G308" s="201">
        <f t="shared" si="98"/>
        <v>181.68012800000002</v>
      </c>
      <c r="H308" s="201">
        <f t="shared" si="99"/>
        <v>10264.92</v>
      </c>
    </row>
    <row r="309" spans="1:8" ht="63" outlineLevel="2" x14ac:dyDescent="0.25">
      <c r="A309" s="68" t="s">
        <v>1053</v>
      </c>
      <c r="B309" s="68" t="s">
        <v>2715</v>
      </c>
      <c r="C309" s="69" t="s">
        <v>533</v>
      </c>
      <c r="D309" s="68" t="s">
        <v>92</v>
      </c>
      <c r="E309" s="70">
        <f>'EST - QUADRA'!I63</f>
        <v>816</v>
      </c>
      <c r="F309" s="201">
        <v>11.94</v>
      </c>
      <c r="G309" s="201">
        <f t="shared" si="98"/>
        <v>15.131562000000001</v>
      </c>
      <c r="H309" s="201">
        <f t="shared" si="99"/>
        <v>12347.35</v>
      </c>
    </row>
    <row r="310" spans="1:8" ht="63" outlineLevel="2" x14ac:dyDescent="0.25">
      <c r="A310" s="68" t="s">
        <v>1054</v>
      </c>
      <c r="B310" s="68" t="s">
        <v>2716</v>
      </c>
      <c r="C310" s="69" t="s">
        <v>535</v>
      </c>
      <c r="D310" s="68" t="s">
        <v>92</v>
      </c>
      <c r="E310" s="70">
        <f>'EST - QUADRA'!I64</f>
        <v>1192</v>
      </c>
      <c r="F310" s="201">
        <v>9.9700000000000006</v>
      </c>
      <c r="G310" s="201">
        <f t="shared" si="98"/>
        <v>12.634981000000002</v>
      </c>
      <c r="H310" s="201">
        <f t="shared" si="99"/>
        <v>15060.89</v>
      </c>
    </row>
    <row r="311" spans="1:8" ht="63" outlineLevel="2" x14ac:dyDescent="0.25">
      <c r="A311" s="68" t="s">
        <v>1055</v>
      </c>
      <c r="B311" s="68" t="s">
        <v>2717</v>
      </c>
      <c r="C311" s="69" t="s">
        <v>536</v>
      </c>
      <c r="D311" s="68" t="s">
        <v>92</v>
      </c>
      <c r="E311" s="70">
        <f>'EST - QUADRA'!I65</f>
        <v>1493</v>
      </c>
      <c r="F311" s="201">
        <v>8.02</v>
      </c>
      <c r="G311" s="201">
        <f t="shared" si="98"/>
        <v>10.163746</v>
      </c>
      <c r="H311" s="201">
        <f t="shared" si="99"/>
        <v>15174.47</v>
      </c>
    </row>
    <row r="312" spans="1:8" ht="63" outlineLevel="2" x14ac:dyDescent="0.25">
      <c r="A312" s="68" t="s">
        <v>1056</v>
      </c>
      <c r="B312" s="68" t="s">
        <v>2718</v>
      </c>
      <c r="C312" s="69" t="s">
        <v>584</v>
      </c>
      <c r="D312" s="68" t="s">
        <v>92</v>
      </c>
      <c r="E312" s="70">
        <f>'EST - QUADRA'!I66</f>
        <v>20</v>
      </c>
      <c r="F312" s="201">
        <v>6.57</v>
      </c>
      <c r="G312" s="201">
        <f t="shared" si="98"/>
        <v>8.3261610000000008</v>
      </c>
      <c r="H312" s="201">
        <f t="shared" si="99"/>
        <v>166.52</v>
      </c>
    </row>
    <row r="313" spans="1:8" ht="47.25" outlineLevel="2" x14ac:dyDescent="0.25">
      <c r="A313" s="68" t="s">
        <v>1057</v>
      </c>
      <c r="B313" s="68" t="s">
        <v>588</v>
      </c>
      <c r="C313" s="69" t="s">
        <v>587</v>
      </c>
      <c r="D313" s="68" t="s">
        <v>106</v>
      </c>
      <c r="E313" s="70">
        <f>'EST - QUADRA'!I68</f>
        <v>59.332799999999992</v>
      </c>
      <c r="F313" s="221">
        <v>75.17</v>
      </c>
      <c r="G313" s="201">
        <f>F313*(1+$E$2)</f>
        <v>95.262941000000012</v>
      </c>
      <c r="H313" s="201">
        <f t="shared" si="99"/>
        <v>5652.21</v>
      </c>
    </row>
    <row r="314" spans="1:8" ht="31.5" outlineLevel="2" x14ac:dyDescent="0.25">
      <c r="A314" s="68" t="s">
        <v>3350</v>
      </c>
      <c r="B314" s="68" t="s">
        <v>2724</v>
      </c>
      <c r="C314" s="69" t="s">
        <v>589</v>
      </c>
      <c r="D314" s="68" t="s">
        <v>106</v>
      </c>
      <c r="E314" s="70">
        <f>'EST - QUADRA'!I69</f>
        <v>71.199359999999984</v>
      </c>
      <c r="F314" s="201">
        <v>10.61</v>
      </c>
      <c r="G314" s="201">
        <f t="shared" ref="G314" si="100">F314*(1+$E$2)</f>
        <v>13.446053000000001</v>
      </c>
      <c r="H314" s="201">
        <f t="shared" si="99"/>
        <v>957.35</v>
      </c>
    </row>
    <row r="315" spans="1:8" outlineLevel="1" x14ac:dyDescent="0.25">
      <c r="A315" s="79"/>
      <c r="B315" s="79"/>
      <c r="C315" s="80" t="s">
        <v>14</v>
      </c>
      <c r="D315" s="79"/>
      <c r="E315" s="81"/>
      <c r="F315" s="203"/>
      <c r="G315" s="218"/>
      <c r="H315" s="218">
        <f>SUM(H306:H314)</f>
        <v>147704.63999999998</v>
      </c>
    </row>
    <row r="316" spans="1:8" outlineLevel="1" x14ac:dyDescent="0.25">
      <c r="A316" s="173" t="s">
        <v>173</v>
      </c>
      <c r="B316" s="173"/>
      <c r="C316" s="174" t="s">
        <v>153</v>
      </c>
      <c r="D316" s="173"/>
      <c r="E316" s="175"/>
      <c r="F316" s="205"/>
      <c r="G316" s="219"/>
      <c r="H316" s="206"/>
    </row>
    <row r="317" spans="1:8" ht="31.5" outlineLevel="2" x14ac:dyDescent="0.25">
      <c r="A317" s="68" t="s">
        <v>1058</v>
      </c>
      <c r="B317" s="68" t="s">
        <v>2723</v>
      </c>
      <c r="C317" s="69" t="s">
        <v>511</v>
      </c>
      <c r="D317" s="68" t="s">
        <v>106</v>
      </c>
      <c r="E317" s="70">
        <f>'EST - QUADRA'!I26</f>
        <v>1566.83</v>
      </c>
      <c r="F317" s="201">
        <v>4.55</v>
      </c>
      <c r="G317" s="201">
        <f t="shared" ref="G317:G321" si="101">F317*(1+$E$2)</f>
        <v>5.7662149999999999</v>
      </c>
      <c r="H317" s="201">
        <f t="shared" ref="H317:H321" si="102">TRUNC((G317*E317),2)</f>
        <v>9034.67</v>
      </c>
    </row>
    <row r="318" spans="1:8" outlineLevel="2" x14ac:dyDescent="0.25">
      <c r="A318" s="68" t="s">
        <v>1059</v>
      </c>
      <c r="B318" s="68" t="s">
        <v>642</v>
      </c>
      <c r="C318" s="69" t="s">
        <v>643</v>
      </c>
      <c r="D318" s="68" t="s">
        <v>273</v>
      </c>
      <c r="E318" s="70">
        <f>'EST - QUADRA'!I25</f>
        <v>78.341499999999996</v>
      </c>
      <c r="F318" s="201">
        <v>87.4</v>
      </c>
      <c r="G318" s="201">
        <f t="shared" si="101"/>
        <v>110.76202000000002</v>
      </c>
      <c r="H318" s="201">
        <f t="shared" si="102"/>
        <v>8677.26</v>
      </c>
    </row>
    <row r="319" spans="1:8" ht="31.5" outlineLevel="2" x14ac:dyDescent="0.25">
      <c r="A319" s="68" t="s">
        <v>1060</v>
      </c>
      <c r="B319" s="68" t="s">
        <v>2724</v>
      </c>
      <c r="C319" s="69" t="s">
        <v>589</v>
      </c>
      <c r="D319" s="226" t="s">
        <v>106</v>
      </c>
      <c r="E319" s="70">
        <f>'EST - QUADRA'!I29</f>
        <v>1880.1959999999999</v>
      </c>
      <c r="F319" s="201">
        <v>10.61</v>
      </c>
      <c r="G319" s="201">
        <f t="shared" si="101"/>
        <v>13.446053000000001</v>
      </c>
      <c r="H319" s="201">
        <f t="shared" si="102"/>
        <v>25281.21</v>
      </c>
    </row>
    <row r="320" spans="1:8" ht="47.25" outlineLevel="2" x14ac:dyDescent="0.25">
      <c r="A320" s="68" t="s">
        <v>1061</v>
      </c>
      <c r="B320" s="68" t="s">
        <v>79</v>
      </c>
      <c r="C320" s="69" t="s">
        <v>515</v>
      </c>
      <c r="D320" s="68" t="s">
        <v>273</v>
      </c>
      <c r="E320" s="70">
        <f>'EST - QUADRA'!I27</f>
        <v>109.6781</v>
      </c>
      <c r="F320" s="201">
        <v>294.68</v>
      </c>
      <c r="G320" s="201">
        <f t="shared" si="101"/>
        <v>373.44796400000001</v>
      </c>
      <c r="H320" s="201">
        <f t="shared" si="102"/>
        <v>40959.06</v>
      </c>
    </row>
    <row r="321" spans="1:8" ht="31.5" outlineLevel="2" x14ac:dyDescent="0.25">
      <c r="A321" s="68" t="s">
        <v>1062</v>
      </c>
      <c r="B321" s="68" t="s">
        <v>2711</v>
      </c>
      <c r="C321" s="69" t="s">
        <v>514</v>
      </c>
      <c r="D321" s="68" t="s">
        <v>273</v>
      </c>
      <c r="E321" s="70">
        <f>'EST - QUADRA'!I28</f>
        <v>109.6781</v>
      </c>
      <c r="F321" s="201">
        <v>23.69</v>
      </c>
      <c r="G321" s="201">
        <f t="shared" si="101"/>
        <v>30.022337000000004</v>
      </c>
      <c r="H321" s="201">
        <f t="shared" si="102"/>
        <v>3292.79</v>
      </c>
    </row>
    <row r="322" spans="1:8" outlineLevel="2" x14ac:dyDescent="0.25">
      <c r="A322" s="68" t="s">
        <v>1063</v>
      </c>
      <c r="B322" s="68" t="s">
        <v>1591</v>
      </c>
      <c r="C322" s="69" t="s">
        <v>1592</v>
      </c>
      <c r="D322" s="68" t="s">
        <v>106</v>
      </c>
      <c r="E322" s="70">
        <f>E317</f>
        <v>1566.83</v>
      </c>
      <c r="F322" s="201">
        <v>7.79</v>
      </c>
      <c r="G322" s="201">
        <f t="shared" ref="G322" si="103">F322*(1+$E$2)</f>
        <v>9.8722670000000008</v>
      </c>
      <c r="H322" s="201">
        <f t="shared" ref="H322" si="104">TRUNC((G322*E322),2)</f>
        <v>15468.16</v>
      </c>
    </row>
    <row r="323" spans="1:8" outlineLevel="1" x14ac:dyDescent="0.25">
      <c r="A323" s="79"/>
      <c r="B323" s="79"/>
      <c r="C323" s="80" t="s">
        <v>14</v>
      </c>
      <c r="D323" s="79"/>
      <c r="E323" s="81"/>
      <c r="F323" s="203"/>
      <c r="G323" s="218"/>
      <c r="H323" s="218">
        <f>SUM(H317:H322)</f>
        <v>102713.15</v>
      </c>
    </row>
    <row r="324" spans="1:8" outlineLevel="1" x14ac:dyDescent="0.25">
      <c r="A324" s="173" t="s">
        <v>174</v>
      </c>
      <c r="B324" s="173"/>
      <c r="C324" s="174" t="s">
        <v>93</v>
      </c>
      <c r="D324" s="173"/>
      <c r="E324" s="176"/>
      <c r="F324" s="206"/>
      <c r="G324" s="219"/>
      <c r="H324" s="206"/>
    </row>
    <row r="325" spans="1:8" ht="78.75" outlineLevel="2" x14ac:dyDescent="0.25">
      <c r="A325" s="68" t="s">
        <v>1064</v>
      </c>
      <c r="B325" s="68" t="s">
        <v>2731</v>
      </c>
      <c r="C325" s="69" t="s">
        <v>644</v>
      </c>
      <c r="D325" s="68" t="s">
        <v>106</v>
      </c>
      <c r="E325" s="70">
        <f>'ARQ - QUADRA e VESTIÁRIOS'!F10</f>
        <v>1742.75</v>
      </c>
      <c r="F325" s="201">
        <v>57.74</v>
      </c>
      <c r="G325" s="201">
        <f t="shared" ref="G325:G330" si="105">F325*(1+$E$2)</f>
        <v>73.173902000000012</v>
      </c>
      <c r="H325" s="201">
        <f t="shared" ref="H325:H331" si="106">TRUNC((G325*E325),2)</f>
        <v>127523.81</v>
      </c>
    </row>
    <row r="326" spans="1:8" ht="31.5" outlineLevel="2" x14ac:dyDescent="0.25">
      <c r="A326" s="68" t="s">
        <v>1065</v>
      </c>
      <c r="B326" s="68" t="s">
        <v>2732</v>
      </c>
      <c r="C326" s="69" t="s">
        <v>826</v>
      </c>
      <c r="D326" s="68" t="s">
        <v>99</v>
      </c>
      <c r="E326" s="70">
        <f>'ARQ - QUADRA e VESTIÁRIOS'!F13</f>
        <v>2.4</v>
      </c>
      <c r="F326" s="201">
        <v>33.25</v>
      </c>
      <c r="G326" s="201">
        <f t="shared" si="105"/>
        <v>42.137725000000003</v>
      </c>
      <c r="H326" s="201">
        <f t="shared" si="106"/>
        <v>101.13</v>
      </c>
    </row>
    <row r="327" spans="1:8" ht="31.5" outlineLevel="2" x14ac:dyDescent="0.25">
      <c r="A327" s="68" t="s">
        <v>1066</v>
      </c>
      <c r="B327" s="68" t="s">
        <v>2733</v>
      </c>
      <c r="C327" s="69" t="s">
        <v>827</v>
      </c>
      <c r="D327" s="68" t="s">
        <v>99</v>
      </c>
      <c r="E327" s="70">
        <f>'ARQ - QUADRA e VESTIÁRIOS'!F14</f>
        <v>6.8</v>
      </c>
      <c r="F327" s="201">
        <v>38.15</v>
      </c>
      <c r="G327" s="201">
        <f t="shared" si="105"/>
        <v>48.347495000000002</v>
      </c>
      <c r="H327" s="201">
        <f t="shared" si="106"/>
        <v>328.76</v>
      </c>
    </row>
    <row r="328" spans="1:8" ht="31.5" outlineLevel="2" x14ac:dyDescent="0.25">
      <c r="A328" s="68" t="s">
        <v>1067</v>
      </c>
      <c r="B328" s="68" t="s">
        <v>2734</v>
      </c>
      <c r="C328" s="69" t="s">
        <v>828</v>
      </c>
      <c r="D328" s="68" t="s">
        <v>99</v>
      </c>
      <c r="E328" s="70">
        <f>'ARQ - QUADRA e VESTIÁRIOS'!F12</f>
        <v>5.2</v>
      </c>
      <c r="F328" s="201">
        <v>32.380000000000003</v>
      </c>
      <c r="G328" s="201">
        <f t="shared" si="105"/>
        <v>41.035174000000005</v>
      </c>
      <c r="H328" s="201">
        <f t="shared" si="106"/>
        <v>213.38</v>
      </c>
    </row>
    <row r="329" spans="1:8" ht="31.5" outlineLevel="2" x14ac:dyDescent="0.25">
      <c r="A329" s="68" t="s">
        <v>1068</v>
      </c>
      <c r="B329" s="68" t="s">
        <v>2735</v>
      </c>
      <c r="C329" s="69" t="s">
        <v>829</v>
      </c>
      <c r="D329" s="68" t="s">
        <v>99</v>
      </c>
      <c r="E329" s="70">
        <f>'ARQ - QUADRA e VESTIÁRIOS'!F16</f>
        <v>6.8</v>
      </c>
      <c r="F329" s="201">
        <v>34.97</v>
      </c>
      <c r="G329" s="201">
        <f t="shared" si="105"/>
        <v>44.317481000000001</v>
      </c>
      <c r="H329" s="201">
        <f t="shared" si="106"/>
        <v>301.35000000000002</v>
      </c>
    </row>
    <row r="330" spans="1:8" ht="31.5" outlineLevel="2" x14ac:dyDescent="0.25">
      <c r="A330" s="68" t="s">
        <v>1593</v>
      </c>
      <c r="B330" s="68" t="s">
        <v>2736</v>
      </c>
      <c r="C330" s="69" t="s">
        <v>830</v>
      </c>
      <c r="D330" s="68" t="s">
        <v>99</v>
      </c>
      <c r="E330" s="70">
        <f>'ARQ - QUADRA e VESTIÁRIOS'!F15</f>
        <v>2.4</v>
      </c>
      <c r="F330" s="201">
        <v>31.73</v>
      </c>
      <c r="G330" s="201">
        <f t="shared" si="105"/>
        <v>40.211429000000003</v>
      </c>
      <c r="H330" s="201">
        <f t="shared" si="106"/>
        <v>96.5</v>
      </c>
    </row>
    <row r="331" spans="1:8" ht="31.5" outlineLevel="2" x14ac:dyDescent="0.25">
      <c r="A331" s="68" t="s">
        <v>2350</v>
      </c>
      <c r="B331" s="68" t="s">
        <v>1904</v>
      </c>
      <c r="C331" s="69" t="s">
        <v>1903</v>
      </c>
      <c r="D331" s="68" t="s">
        <v>106</v>
      </c>
      <c r="E331" s="70">
        <f>'ARQ - QUADRA e VESTIÁRIOS'!F11</f>
        <v>332.2</v>
      </c>
      <c r="F331" s="201">
        <v>111.64</v>
      </c>
      <c r="G331" s="201">
        <f t="shared" ref="G331" si="107">F331*(1+$E$2)</f>
        <v>141.48137200000002</v>
      </c>
      <c r="H331" s="201">
        <f t="shared" si="106"/>
        <v>47000.11</v>
      </c>
    </row>
    <row r="332" spans="1:8" outlineLevel="1" x14ac:dyDescent="0.25">
      <c r="A332" s="122"/>
      <c r="B332" s="79"/>
      <c r="C332" s="80" t="s">
        <v>14</v>
      </c>
      <c r="D332" s="79"/>
      <c r="E332" s="81"/>
      <c r="F332" s="203"/>
      <c r="G332" s="218"/>
      <c r="H332" s="218">
        <f>SUM(H325:H331)</f>
        <v>175565.04</v>
      </c>
    </row>
    <row r="333" spans="1:8" outlineLevel="1" x14ac:dyDescent="0.25">
      <c r="A333" s="376" t="s">
        <v>175</v>
      </c>
      <c r="B333" s="173"/>
      <c r="C333" s="174" t="s">
        <v>78</v>
      </c>
      <c r="D333" s="173"/>
      <c r="E333" s="176"/>
      <c r="F333" s="206"/>
      <c r="G333" s="219"/>
      <c r="H333" s="206"/>
    </row>
    <row r="334" spans="1:8" ht="47.25" outlineLevel="2" x14ac:dyDescent="0.25">
      <c r="A334" s="68" t="s">
        <v>1069</v>
      </c>
      <c r="B334" s="68" t="s">
        <v>2728</v>
      </c>
      <c r="C334" s="69" t="s">
        <v>786</v>
      </c>
      <c r="D334" s="226" t="s">
        <v>106</v>
      </c>
      <c r="E334" s="70">
        <f>'ARQ - QUADRA e VESTIÁRIOS'!F26</f>
        <v>10.199999999999999</v>
      </c>
      <c r="F334" s="221">
        <v>872.45</v>
      </c>
      <c r="G334" s="201">
        <f t="shared" ref="G334:G336" si="108">F334*(1+$E$2)</f>
        <v>1105.6558850000001</v>
      </c>
      <c r="H334" s="201">
        <f t="shared" ref="H334:H336" si="109">TRUNC((G334*E334),2)</f>
        <v>11277.69</v>
      </c>
    </row>
    <row r="335" spans="1:8" ht="63" outlineLevel="2" x14ac:dyDescent="0.25">
      <c r="A335" s="68" t="s">
        <v>1070</v>
      </c>
      <c r="B335" s="68" t="s">
        <v>804</v>
      </c>
      <c r="C335" s="69" t="s">
        <v>805</v>
      </c>
      <c r="D335" s="226" t="s">
        <v>56</v>
      </c>
      <c r="E335" s="70">
        <f>'ARQ - QUADRA e VESTIÁRIOS'!F25</f>
        <v>4</v>
      </c>
      <c r="F335" s="221">
        <v>798.99</v>
      </c>
      <c r="G335" s="201">
        <f t="shared" si="108"/>
        <v>1012.5600270000001</v>
      </c>
      <c r="H335" s="201">
        <f t="shared" si="109"/>
        <v>4050.24</v>
      </c>
    </row>
    <row r="336" spans="1:8" ht="31.5" outlineLevel="2" x14ac:dyDescent="0.25">
      <c r="A336" s="68" t="s">
        <v>1071</v>
      </c>
      <c r="B336" s="68" t="s">
        <v>2730</v>
      </c>
      <c r="C336" s="69" t="s">
        <v>806</v>
      </c>
      <c r="D336" s="226" t="s">
        <v>106</v>
      </c>
      <c r="E336" s="70">
        <f>'ARQ - QUADRA e VESTIÁRIOS'!F27+'ARQ - QUADRA e VESTIÁRIOS'!F28</f>
        <v>5.4400000000000013</v>
      </c>
      <c r="F336" s="221">
        <v>857.15</v>
      </c>
      <c r="G336" s="201">
        <f t="shared" si="108"/>
        <v>1086.2661950000002</v>
      </c>
      <c r="H336" s="201">
        <f t="shared" si="109"/>
        <v>5909.28</v>
      </c>
    </row>
    <row r="337" spans="1:8" outlineLevel="1" x14ac:dyDescent="0.25">
      <c r="A337" s="79"/>
      <c r="B337" s="79"/>
      <c r="C337" s="80" t="s">
        <v>14</v>
      </c>
      <c r="D337" s="79"/>
      <c r="E337" s="81"/>
      <c r="F337" s="203"/>
      <c r="G337" s="218"/>
      <c r="H337" s="218">
        <f>SUM(H334:H336)</f>
        <v>21237.21</v>
      </c>
    </row>
    <row r="338" spans="1:8" outlineLevel="1" x14ac:dyDescent="0.25">
      <c r="A338" s="173" t="s">
        <v>176</v>
      </c>
      <c r="B338" s="173"/>
      <c r="C338" s="174" t="s">
        <v>74</v>
      </c>
      <c r="D338" s="173"/>
      <c r="E338" s="175"/>
      <c r="F338" s="205"/>
      <c r="G338" s="219"/>
      <c r="H338" s="206"/>
    </row>
    <row r="339" spans="1:8" ht="31.5" outlineLevel="2" x14ac:dyDescent="0.25">
      <c r="A339" s="68" t="s">
        <v>337</v>
      </c>
      <c r="B339" s="68" t="s">
        <v>593</v>
      </c>
      <c r="C339" s="69" t="s">
        <v>592</v>
      </c>
      <c r="D339" s="68" t="s">
        <v>92</v>
      </c>
      <c r="E339" s="70">
        <f>'EST - QUADRA'!I71</f>
        <v>34352.49</v>
      </c>
      <c r="F339" s="201">
        <v>6.89</v>
      </c>
      <c r="G339" s="201">
        <f t="shared" ref="G339:G341" si="110">F339*(1+$E$2)</f>
        <v>8.7316970000000005</v>
      </c>
      <c r="H339" s="201">
        <f t="shared" ref="H339:H345" si="111">TRUNC((G339*E339),2)</f>
        <v>299955.53000000003</v>
      </c>
    </row>
    <row r="340" spans="1:8" outlineLevel="2" x14ac:dyDescent="0.25">
      <c r="A340" s="68" t="s">
        <v>338</v>
      </c>
      <c r="B340" s="68" t="s">
        <v>595</v>
      </c>
      <c r="C340" s="69" t="s">
        <v>594</v>
      </c>
      <c r="D340" s="68" t="s">
        <v>92</v>
      </c>
      <c r="E340" s="70">
        <f>E339</f>
        <v>34352.49</v>
      </c>
      <c r="F340" s="201">
        <v>1.64</v>
      </c>
      <c r="G340" s="201">
        <f t="shared" si="110"/>
        <v>2.0783719999999999</v>
      </c>
      <c r="H340" s="201">
        <f t="shared" si="111"/>
        <v>71397.25</v>
      </c>
    </row>
    <row r="341" spans="1:8" ht="31.5" outlineLevel="2" x14ac:dyDescent="0.25">
      <c r="A341" s="68" t="s">
        <v>339</v>
      </c>
      <c r="B341" s="68" t="s">
        <v>1555</v>
      </c>
      <c r="C341" s="69" t="s">
        <v>1554</v>
      </c>
      <c r="D341" s="68" t="s">
        <v>106</v>
      </c>
      <c r="E341" s="70">
        <f>'EST - QUADRA'!I72</f>
        <v>1128.3699999999999</v>
      </c>
      <c r="F341" s="201">
        <v>21.24</v>
      </c>
      <c r="G341" s="201">
        <f t="shared" si="110"/>
        <v>26.917452000000001</v>
      </c>
      <c r="H341" s="201">
        <f t="shared" si="111"/>
        <v>30372.84</v>
      </c>
    </row>
    <row r="342" spans="1:8" ht="31.5" outlineLevel="2" x14ac:dyDescent="0.25">
      <c r="A342" s="68" t="s">
        <v>340</v>
      </c>
      <c r="B342" s="68" t="s">
        <v>2725</v>
      </c>
      <c r="C342" s="69" t="s">
        <v>913</v>
      </c>
      <c r="D342" s="68" t="s">
        <v>106</v>
      </c>
      <c r="E342" s="70">
        <f>'ARQ - QUADRA e VESTIÁRIOS'!F19</f>
        <v>1535.11</v>
      </c>
      <c r="F342" s="201">
        <v>104.02</v>
      </c>
      <c r="G342" s="201">
        <f t="shared" ref="G342" si="112">F342*(1+$E$2)</f>
        <v>131.824546</v>
      </c>
      <c r="H342" s="201">
        <f t="shared" si="111"/>
        <v>202365.17</v>
      </c>
    </row>
    <row r="343" spans="1:8" ht="47.25" outlineLevel="2" x14ac:dyDescent="0.25">
      <c r="A343" s="68" t="s">
        <v>2351</v>
      </c>
      <c r="B343" s="68" t="s">
        <v>2150</v>
      </c>
      <c r="C343" s="69" t="s">
        <v>2151</v>
      </c>
      <c r="D343" s="68" t="s">
        <v>99</v>
      </c>
      <c r="E343" s="70">
        <f>'ARQ - QUADRA e VESTIÁRIOS'!F22</f>
        <v>99.4</v>
      </c>
      <c r="F343" s="201">
        <v>109.86</v>
      </c>
      <c r="G343" s="201">
        <f t="shared" ref="G343" si="113">F343*(1+$E$2)</f>
        <v>139.22557800000001</v>
      </c>
      <c r="H343" s="201">
        <f t="shared" si="111"/>
        <v>13839.02</v>
      </c>
    </row>
    <row r="344" spans="1:8" ht="31.5" outlineLevel="2" x14ac:dyDescent="0.25">
      <c r="A344" s="68" t="s">
        <v>2352</v>
      </c>
      <c r="B344" s="68" t="s">
        <v>2727</v>
      </c>
      <c r="C344" s="69" t="s">
        <v>1902</v>
      </c>
      <c r="D344" s="68" t="s">
        <v>99</v>
      </c>
      <c r="E344" s="70">
        <f>'ARQ - QUADRA e VESTIÁRIOS'!F20+'ARQ - QUADRA e VESTIÁRIOS'!F21</f>
        <v>231.32</v>
      </c>
      <c r="F344" s="201">
        <v>25.82</v>
      </c>
      <c r="G344" s="201">
        <f t="shared" ref="G344:G345" si="114">F344*(1+$E$2)</f>
        <v>32.721686000000005</v>
      </c>
      <c r="H344" s="201">
        <f t="shared" si="111"/>
        <v>7569.18</v>
      </c>
    </row>
    <row r="345" spans="1:8" ht="63" outlineLevel="2" x14ac:dyDescent="0.25">
      <c r="A345" s="68" t="s">
        <v>3097</v>
      </c>
      <c r="B345" s="68" t="s">
        <v>519</v>
      </c>
      <c r="C345" s="69" t="s">
        <v>518</v>
      </c>
      <c r="D345" s="68" t="s">
        <v>92</v>
      </c>
      <c r="E345" s="70">
        <f>'EST - QUADRA'!I73</f>
        <v>10.56</v>
      </c>
      <c r="F345" s="201">
        <v>6.28</v>
      </c>
      <c r="G345" s="201">
        <f t="shared" si="114"/>
        <v>7.9586440000000005</v>
      </c>
      <c r="H345" s="201">
        <f t="shared" si="111"/>
        <v>84.04</v>
      </c>
    </row>
    <row r="346" spans="1:8" outlineLevel="1" x14ac:dyDescent="0.25">
      <c r="A346" s="79"/>
      <c r="B346" s="79"/>
      <c r="C346" s="80" t="s">
        <v>14</v>
      </c>
      <c r="D346" s="79"/>
      <c r="E346" s="81"/>
      <c r="F346" s="203"/>
      <c r="G346" s="218"/>
      <c r="H346" s="218">
        <f>SUM(H339:H345)</f>
        <v>625583.03000000014</v>
      </c>
    </row>
    <row r="347" spans="1:8" outlineLevel="1" x14ac:dyDescent="0.25">
      <c r="A347" s="173" t="s">
        <v>177</v>
      </c>
      <c r="B347" s="173"/>
      <c r="C347" s="174" t="s">
        <v>80</v>
      </c>
      <c r="D347" s="173"/>
      <c r="E347" s="176"/>
      <c r="F347" s="206"/>
      <c r="G347" s="219"/>
      <c r="H347" s="206"/>
    </row>
    <row r="348" spans="1:8" ht="63" outlineLevel="2" x14ac:dyDescent="0.25">
      <c r="A348" s="68" t="s">
        <v>341</v>
      </c>
      <c r="B348" s="68" t="s">
        <v>2737</v>
      </c>
      <c r="C348" s="69" t="s">
        <v>2738</v>
      </c>
      <c r="D348" s="68" t="s">
        <v>106</v>
      </c>
      <c r="E348" s="70">
        <f>'ARQ - QUADRA e VESTIÁRIOS'!F31</f>
        <v>3813.55</v>
      </c>
      <c r="F348" s="201">
        <v>2.56</v>
      </c>
      <c r="G348" s="201">
        <f t="shared" ref="G348:G352" si="115">F348*(1+$E$2)</f>
        <v>3.2442880000000005</v>
      </c>
      <c r="H348" s="201">
        <f t="shared" ref="H348:H352" si="116">TRUNC((G348*E348),2)</f>
        <v>12372.25</v>
      </c>
    </row>
    <row r="349" spans="1:8" ht="78.75" outlineLevel="2" x14ac:dyDescent="0.25">
      <c r="A349" s="68" t="s">
        <v>342</v>
      </c>
      <c r="B349" s="68" t="s">
        <v>2739</v>
      </c>
      <c r="C349" s="69" t="s">
        <v>1985</v>
      </c>
      <c r="D349" s="68" t="s">
        <v>106</v>
      </c>
      <c r="E349" s="70">
        <f>'ARQ - QUADRA e VESTIÁRIOS'!F32+'ARQ - QUADRA e VESTIÁRIOS'!F33</f>
        <v>3813.5499999999997</v>
      </c>
      <c r="F349" s="201">
        <v>26.04</v>
      </c>
      <c r="G349" s="201">
        <f t="shared" si="115"/>
        <v>33.000492000000001</v>
      </c>
      <c r="H349" s="201">
        <f t="shared" si="116"/>
        <v>125849.02</v>
      </c>
    </row>
    <row r="350" spans="1:8" ht="78.75" outlineLevel="2" x14ac:dyDescent="0.25">
      <c r="A350" s="68" t="s">
        <v>343</v>
      </c>
      <c r="B350" s="68" t="s">
        <v>2742</v>
      </c>
      <c r="C350" s="69" t="s">
        <v>773</v>
      </c>
      <c r="D350" s="68" t="s">
        <v>106</v>
      </c>
      <c r="E350" s="70">
        <f>'ARQ - QUADRA e VESTIÁRIOS'!F34</f>
        <v>205.95</v>
      </c>
      <c r="F350" s="201">
        <v>47.04</v>
      </c>
      <c r="G350" s="201">
        <f t="shared" si="115"/>
        <v>59.613792000000004</v>
      </c>
      <c r="H350" s="201">
        <f t="shared" si="116"/>
        <v>12277.46</v>
      </c>
    </row>
    <row r="351" spans="1:8" s="71" customFormat="1" ht="63" outlineLevel="2" x14ac:dyDescent="0.25">
      <c r="A351" s="68" t="s">
        <v>344</v>
      </c>
      <c r="B351" s="68" t="s">
        <v>2744</v>
      </c>
      <c r="C351" s="69" t="s">
        <v>781</v>
      </c>
      <c r="D351" s="68" t="s">
        <v>106</v>
      </c>
      <c r="E351" s="70">
        <f>'ARQ - QUADRA e VESTIÁRIOS'!F35</f>
        <v>104.93</v>
      </c>
      <c r="F351" s="201">
        <v>165.09</v>
      </c>
      <c r="G351" s="201">
        <f t="shared" si="115"/>
        <v>209.21855700000003</v>
      </c>
      <c r="H351" s="201">
        <f t="shared" si="116"/>
        <v>21953.3</v>
      </c>
    </row>
    <row r="352" spans="1:8" ht="31.5" outlineLevel="2" x14ac:dyDescent="0.25">
      <c r="A352" s="68" t="s">
        <v>1905</v>
      </c>
      <c r="B352" s="68" t="s">
        <v>2745</v>
      </c>
      <c r="C352" s="69" t="s">
        <v>774</v>
      </c>
      <c r="D352" s="68" t="s">
        <v>106</v>
      </c>
      <c r="E352" s="70">
        <f>'ARQ - QUADRA e VESTIÁRIOS'!F7</f>
        <v>293.98</v>
      </c>
      <c r="F352" s="201">
        <v>21.8</v>
      </c>
      <c r="G352" s="201">
        <f t="shared" si="115"/>
        <v>27.627140000000004</v>
      </c>
      <c r="H352" s="201">
        <f t="shared" si="116"/>
        <v>8121.82</v>
      </c>
    </row>
    <row r="353" spans="1:8" outlineLevel="1" x14ac:dyDescent="0.25">
      <c r="A353" s="79"/>
      <c r="B353" s="79"/>
      <c r="C353" s="80" t="s">
        <v>14</v>
      </c>
      <c r="D353" s="79"/>
      <c r="E353" s="81"/>
      <c r="F353" s="203"/>
      <c r="G353" s="218"/>
      <c r="H353" s="218">
        <f>SUM(H348:H352)</f>
        <v>180573.85</v>
      </c>
    </row>
    <row r="354" spans="1:8" outlineLevel="1" x14ac:dyDescent="0.25">
      <c r="A354" s="376" t="s">
        <v>178</v>
      </c>
      <c r="B354" s="173"/>
      <c r="C354" s="174" t="s">
        <v>11</v>
      </c>
      <c r="D354" s="173"/>
      <c r="E354" s="176"/>
      <c r="F354" s="206"/>
      <c r="G354" s="219"/>
      <c r="H354" s="206"/>
    </row>
    <row r="355" spans="1:8" ht="47.25" outlineLevel="2" x14ac:dyDescent="0.25">
      <c r="A355" s="68" t="s">
        <v>1072</v>
      </c>
      <c r="B355" s="68" t="s">
        <v>2746</v>
      </c>
      <c r="C355" s="69" t="s">
        <v>775</v>
      </c>
      <c r="D355" s="68" t="s">
        <v>106</v>
      </c>
      <c r="E355" s="70">
        <f>'ARQ - QUADRA e VESTIÁRIOS'!F40</f>
        <v>53.26</v>
      </c>
      <c r="F355" s="201">
        <v>73.47</v>
      </c>
      <c r="G355" s="201">
        <f t="shared" ref="G355:G356" si="117">F355*(1+$E$2)</f>
        <v>93.108530999999999</v>
      </c>
      <c r="H355" s="201">
        <f t="shared" ref="H355:H356" si="118">TRUNC((G355*E355),2)</f>
        <v>4958.96</v>
      </c>
    </row>
    <row r="356" spans="1:8" s="71" customFormat="1" ht="47.25" outlineLevel="2" x14ac:dyDescent="0.25">
      <c r="A356" s="68" t="s">
        <v>352</v>
      </c>
      <c r="B356" s="68" t="s">
        <v>2674</v>
      </c>
      <c r="C356" s="69" t="s">
        <v>2675</v>
      </c>
      <c r="D356" s="68" t="s">
        <v>99</v>
      </c>
      <c r="E356" s="70">
        <f>'ARQ - QUADRA e VESTIÁRIOS'!F41</f>
        <v>6.6</v>
      </c>
      <c r="F356" s="201">
        <v>10.65</v>
      </c>
      <c r="G356" s="201">
        <f t="shared" si="117"/>
        <v>13.496745000000001</v>
      </c>
      <c r="H356" s="201">
        <f t="shared" si="118"/>
        <v>89.07</v>
      </c>
    </row>
    <row r="357" spans="1:8" ht="63" outlineLevel="2" x14ac:dyDescent="0.25">
      <c r="A357" s="68" t="s">
        <v>364</v>
      </c>
      <c r="B357" s="68" t="s">
        <v>2760</v>
      </c>
      <c r="C357" s="69" t="s">
        <v>2081</v>
      </c>
      <c r="D357" s="68" t="s">
        <v>106</v>
      </c>
      <c r="E357" s="70">
        <f>'ARQ - QUADRA e VESTIÁRIOS'!F75</f>
        <v>199.53</v>
      </c>
      <c r="F357" s="201">
        <v>66.02</v>
      </c>
      <c r="G357" s="201">
        <f t="shared" ref="G357" si="119">F357*(1+$E$2)</f>
        <v>83.667146000000002</v>
      </c>
      <c r="H357" s="201">
        <f t="shared" ref="H357" si="120">TRUNC((G357*E357),2)</f>
        <v>16694.099999999999</v>
      </c>
    </row>
    <row r="358" spans="1:8" outlineLevel="1" x14ac:dyDescent="0.25">
      <c r="A358" s="122"/>
      <c r="B358" s="79"/>
      <c r="C358" s="80" t="s">
        <v>14</v>
      </c>
      <c r="D358" s="79"/>
      <c r="E358" s="81"/>
      <c r="F358" s="203"/>
      <c r="G358" s="218"/>
      <c r="H358" s="218">
        <f>SUM(H355:H357)</f>
        <v>21742.129999999997</v>
      </c>
    </row>
    <row r="359" spans="1:8" outlineLevel="1" x14ac:dyDescent="0.25">
      <c r="A359" s="173" t="s">
        <v>365</v>
      </c>
      <c r="B359" s="173"/>
      <c r="C359" s="174" t="s">
        <v>823</v>
      </c>
      <c r="D359" s="173"/>
      <c r="E359" s="176"/>
      <c r="F359" s="206"/>
      <c r="G359" s="219"/>
      <c r="H359" s="206"/>
    </row>
    <row r="360" spans="1:8" ht="31.5" outlineLevel="2" x14ac:dyDescent="0.25">
      <c r="A360" s="68" t="s">
        <v>366</v>
      </c>
      <c r="B360" s="68" t="s">
        <v>2710</v>
      </c>
      <c r="C360" s="69" t="s">
        <v>513</v>
      </c>
      <c r="D360" s="68" t="s">
        <v>106</v>
      </c>
      <c r="E360" s="70">
        <f>'EST- ARQUIBANCADA'!I4</f>
        <v>225</v>
      </c>
      <c r="F360" s="201">
        <v>45.06</v>
      </c>
      <c r="G360" s="201">
        <f t="shared" ref="G360" si="121">F360*(1+$E$2)</f>
        <v>57.104538000000005</v>
      </c>
      <c r="H360" s="201">
        <f t="shared" ref="H360" si="122">TRUNC((G360*E360),2)</f>
        <v>12848.52</v>
      </c>
    </row>
    <row r="361" spans="1:8" ht="47.25" outlineLevel="2" x14ac:dyDescent="0.25">
      <c r="A361" s="68" t="s">
        <v>367</v>
      </c>
      <c r="B361" s="68" t="s">
        <v>79</v>
      </c>
      <c r="C361" s="69" t="s">
        <v>515</v>
      </c>
      <c r="D361" s="68" t="s">
        <v>273</v>
      </c>
      <c r="E361" s="70">
        <f>'EST- ARQUIBANCADA'!I5</f>
        <v>18.348000000000003</v>
      </c>
      <c r="F361" s="201">
        <v>294.68</v>
      </c>
      <c r="G361" s="201">
        <f t="shared" ref="G361:G364" si="123">F361*(1+$E$2)</f>
        <v>373.44796400000001</v>
      </c>
      <c r="H361" s="201">
        <f t="shared" ref="H361:H364" si="124">TRUNC((G361*E361),2)</f>
        <v>6852.02</v>
      </c>
    </row>
    <row r="362" spans="1:8" ht="31.5" outlineLevel="2" x14ac:dyDescent="0.25">
      <c r="A362" s="68" t="s">
        <v>368</v>
      </c>
      <c r="B362" s="226" t="s">
        <v>2721</v>
      </c>
      <c r="C362" s="69" t="s">
        <v>540</v>
      </c>
      <c r="D362" s="68" t="s">
        <v>273</v>
      </c>
      <c r="E362" s="70">
        <f>'EST- ARQUIBANCADA'!I6</f>
        <v>18.348000000000003</v>
      </c>
      <c r="F362" s="201">
        <v>143.36000000000001</v>
      </c>
      <c r="G362" s="201">
        <f t="shared" si="123"/>
        <v>181.68012800000002</v>
      </c>
      <c r="H362" s="201">
        <f t="shared" si="124"/>
        <v>3333.46</v>
      </c>
    </row>
    <row r="363" spans="1:8" ht="31.5" outlineLevel="2" x14ac:dyDescent="0.25">
      <c r="A363" s="68" t="s">
        <v>2353</v>
      </c>
      <c r="B363" s="68" t="s">
        <v>2724</v>
      </c>
      <c r="C363" s="69" t="s">
        <v>589</v>
      </c>
      <c r="D363" s="68" t="s">
        <v>106</v>
      </c>
      <c r="E363" s="70">
        <f>'EST- ARQUIBANCADA'!I7</f>
        <v>241</v>
      </c>
      <c r="F363" s="201">
        <v>10.61</v>
      </c>
      <c r="G363" s="201">
        <f t="shared" si="123"/>
        <v>13.446053000000001</v>
      </c>
      <c r="H363" s="201">
        <f t="shared" si="124"/>
        <v>3240.49</v>
      </c>
    </row>
    <row r="364" spans="1:8" ht="63" outlineLevel="2" x14ac:dyDescent="0.25">
      <c r="A364" s="68" t="s">
        <v>2354</v>
      </c>
      <c r="B364" s="68" t="s">
        <v>2716</v>
      </c>
      <c r="C364" s="69" t="s">
        <v>535</v>
      </c>
      <c r="D364" s="68" t="s">
        <v>92</v>
      </c>
      <c r="E364" s="70">
        <f>'EST- ARQUIBANCADA'!I8</f>
        <v>712</v>
      </c>
      <c r="F364" s="201">
        <v>9.9700000000000006</v>
      </c>
      <c r="G364" s="201">
        <f t="shared" si="123"/>
        <v>12.634981000000002</v>
      </c>
      <c r="H364" s="201">
        <f t="shared" si="124"/>
        <v>8996.1</v>
      </c>
    </row>
    <row r="365" spans="1:8" ht="78.75" outlineLevel="2" x14ac:dyDescent="0.25">
      <c r="A365" s="68" t="s">
        <v>2355</v>
      </c>
      <c r="B365" s="68" t="s">
        <v>2765</v>
      </c>
      <c r="C365" s="69" t="s">
        <v>824</v>
      </c>
      <c r="D365" s="68" t="s">
        <v>106</v>
      </c>
      <c r="E365" s="70">
        <f>'EST- ARQUIBANCADA'!I9</f>
        <v>180</v>
      </c>
      <c r="F365" s="201">
        <v>59.36</v>
      </c>
      <c r="G365" s="201">
        <f>F365*(1+$E$2)</f>
        <v>75.226928000000001</v>
      </c>
      <c r="H365" s="201">
        <f>TRUNC((G365*E365),2)</f>
        <v>13540.84</v>
      </c>
    </row>
    <row r="366" spans="1:8" outlineLevel="1" x14ac:dyDescent="0.25">
      <c r="A366" s="79"/>
      <c r="B366" s="79"/>
      <c r="C366" s="80" t="s">
        <v>14</v>
      </c>
      <c r="D366" s="79"/>
      <c r="E366" s="81"/>
      <c r="F366" s="203"/>
      <c r="G366" s="218"/>
      <c r="H366" s="218">
        <f>SUM(H360:H365)</f>
        <v>48811.429999999993</v>
      </c>
    </row>
    <row r="367" spans="1:8" outlineLevel="1" x14ac:dyDescent="0.25">
      <c r="A367" s="173" t="s">
        <v>369</v>
      </c>
      <c r="B367" s="173"/>
      <c r="C367" s="174" t="s">
        <v>12</v>
      </c>
      <c r="D367" s="173"/>
      <c r="E367" s="176"/>
      <c r="F367" s="206"/>
      <c r="G367" s="219"/>
      <c r="H367" s="206"/>
    </row>
    <row r="368" spans="1:8" ht="31.5" outlineLevel="2" x14ac:dyDescent="0.25">
      <c r="A368" s="68" t="s">
        <v>370</v>
      </c>
      <c r="B368" s="68" t="s">
        <v>2752</v>
      </c>
      <c r="C368" s="69" t="s">
        <v>825</v>
      </c>
      <c r="D368" s="68" t="s">
        <v>106</v>
      </c>
      <c r="E368" s="70">
        <f>'ARQ - QUADRA e VESTIÁRIOS'!F48</f>
        <v>1665.38</v>
      </c>
      <c r="F368" s="201">
        <v>1.56</v>
      </c>
      <c r="G368" s="201">
        <f>F368*(1+$E$2)</f>
        <v>1.9769880000000002</v>
      </c>
      <c r="H368" s="201">
        <f>TRUNC((G368*E368),2)</f>
        <v>3292.43</v>
      </c>
    </row>
    <row r="369" spans="1:8" ht="31.5" outlineLevel="2" x14ac:dyDescent="0.25">
      <c r="A369" s="68" t="s">
        <v>1536</v>
      </c>
      <c r="B369" s="68" t="s">
        <v>2766</v>
      </c>
      <c r="C369" s="69" t="s">
        <v>779</v>
      </c>
      <c r="D369" s="68" t="s">
        <v>106</v>
      </c>
      <c r="E369" s="70">
        <f>'ARQ - QUADRA e VESTIÁRIOS'!F49</f>
        <v>1626.18</v>
      </c>
      <c r="F369" s="201">
        <v>10.8</v>
      </c>
      <c r="G369" s="201">
        <f t="shared" ref="G369:G377" si="125">F369*(1+$E$2)</f>
        <v>13.686840000000002</v>
      </c>
      <c r="H369" s="201">
        <f t="shared" ref="H369:H377" si="126">TRUNC((G369*E369),2)</f>
        <v>22257.26</v>
      </c>
    </row>
    <row r="370" spans="1:8" ht="31.5" outlineLevel="2" x14ac:dyDescent="0.25">
      <c r="A370" s="68" t="s">
        <v>1537</v>
      </c>
      <c r="B370" s="369" t="s">
        <v>2082</v>
      </c>
      <c r="C370" s="69" t="s">
        <v>2753</v>
      </c>
      <c r="D370" s="68" t="s">
        <v>106</v>
      </c>
      <c r="E370" s="70">
        <f>'ARQ - QUADRA e VESTIÁRIOS'!F50</f>
        <v>1665.38</v>
      </c>
      <c r="F370" s="201">
        <v>13.06</v>
      </c>
      <c r="G370" s="201">
        <f t="shared" ref="G370" si="127">F370*(1+$E$2)</f>
        <v>16.550938000000002</v>
      </c>
      <c r="H370" s="201">
        <f t="shared" ref="H370" si="128">TRUNC((G370*E370),2)</f>
        <v>27563.599999999999</v>
      </c>
    </row>
    <row r="371" spans="1:8" ht="31.5" outlineLevel="2" x14ac:dyDescent="0.25">
      <c r="A371" s="68" t="s">
        <v>1538</v>
      </c>
      <c r="B371" s="115" t="s">
        <v>2754</v>
      </c>
      <c r="C371" s="116" t="s">
        <v>780</v>
      </c>
      <c r="D371" s="68" t="s">
        <v>106</v>
      </c>
      <c r="E371" s="70">
        <f>'ARQ - QUADRA e VESTIÁRIOS'!F51</f>
        <v>3265.84</v>
      </c>
      <c r="F371" s="201">
        <v>10.43</v>
      </c>
      <c r="G371" s="201">
        <f t="shared" si="125"/>
        <v>13.217939000000001</v>
      </c>
      <c r="H371" s="201">
        <f t="shared" si="126"/>
        <v>43167.67</v>
      </c>
    </row>
    <row r="372" spans="1:8" ht="31.5" outlineLevel="2" x14ac:dyDescent="0.25">
      <c r="A372" s="68" t="s">
        <v>2225</v>
      </c>
      <c r="B372" s="68" t="s">
        <v>2751</v>
      </c>
      <c r="C372" s="69" t="s">
        <v>1900</v>
      </c>
      <c r="D372" s="68" t="s">
        <v>106</v>
      </c>
      <c r="E372" s="70">
        <f>'ARQ - QUADRA e VESTIÁRIOS'!F52</f>
        <v>53.26</v>
      </c>
      <c r="F372" s="201">
        <v>11.68</v>
      </c>
      <c r="G372" s="201">
        <f t="shared" ref="G372" si="129">F372*(1+$E$2)</f>
        <v>14.802064000000001</v>
      </c>
      <c r="H372" s="201">
        <f t="shared" ref="H372" si="130">TRUNC((G372*E372),2)</f>
        <v>788.35</v>
      </c>
    </row>
    <row r="373" spans="1:8" ht="47.25" outlineLevel="2" x14ac:dyDescent="0.25">
      <c r="A373" s="68" t="s">
        <v>2226</v>
      </c>
      <c r="B373" s="68" t="s">
        <v>1112</v>
      </c>
      <c r="C373" s="69" t="s">
        <v>1113</v>
      </c>
      <c r="D373" s="68" t="s">
        <v>106</v>
      </c>
      <c r="E373" s="70">
        <f>'ARQ - QUADRA e VESTIÁRIOS'!F53</f>
        <v>301.89</v>
      </c>
      <c r="F373" s="201">
        <v>16.25</v>
      </c>
      <c r="G373" s="201">
        <f t="shared" ref="G373" si="131">F373*(1+$E$2)</f>
        <v>20.593625000000003</v>
      </c>
      <c r="H373" s="201">
        <f t="shared" ref="H373" si="132">TRUNC((G373*E373),2)</f>
        <v>6217</v>
      </c>
    </row>
    <row r="374" spans="1:8" ht="47.25" outlineLevel="2" x14ac:dyDescent="0.25">
      <c r="A374" s="68" t="s">
        <v>2356</v>
      </c>
      <c r="B374" s="68" t="s">
        <v>965</v>
      </c>
      <c r="C374" s="69" t="s">
        <v>966</v>
      </c>
      <c r="D374" s="68" t="s">
        <v>106</v>
      </c>
      <c r="E374" s="70">
        <f>'ARQ - QUADRA e VESTIÁRIOS'!F54</f>
        <v>25.73</v>
      </c>
      <c r="F374" s="221">
        <v>17.72</v>
      </c>
      <c r="G374" s="201">
        <f t="shared" si="125"/>
        <v>22.456555999999999</v>
      </c>
      <c r="H374" s="201">
        <f t="shared" si="126"/>
        <v>577.79999999999995</v>
      </c>
    </row>
    <row r="375" spans="1:8" outlineLevel="2" x14ac:dyDescent="0.25">
      <c r="A375" s="68" t="s">
        <v>2357</v>
      </c>
      <c r="B375" s="115" t="s">
        <v>254</v>
      </c>
      <c r="C375" s="116" t="s">
        <v>832</v>
      </c>
      <c r="D375" s="68" t="s">
        <v>106</v>
      </c>
      <c r="E375" s="70">
        <f>'ARQ - QUADRA e VESTIÁRIOS'!F67</f>
        <v>936.65</v>
      </c>
      <c r="F375" s="201">
        <v>16.22</v>
      </c>
      <c r="G375" s="201">
        <f t="shared" si="125"/>
        <v>20.555606000000001</v>
      </c>
      <c r="H375" s="201">
        <f t="shared" si="126"/>
        <v>19253.400000000001</v>
      </c>
    </row>
    <row r="376" spans="1:8" outlineLevel="2" x14ac:dyDescent="0.25">
      <c r="A376" s="68" t="s">
        <v>2358</v>
      </c>
      <c r="B376" s="115" t="s">
        <v>2767</v>
      </c>
      <c r="C376" s="116" t="s">
        <v>2768</v>
      </c>
      <c r="D376" s="68" t="s">
        <v>106</v>
      </c>
      <c r="E376" s="70">
        <f>'ARQ - QUADRA e VESTIÁRIOS'!F68</f>
        <v>419.98</v>
      </c>
      <c r="F376" s="201">
        <v>33.869999999999997</v>
      </c>
      <c r="G376" s="201">
        <f t="shared" ref="G376" si="133">F376*(1+$E$2)</f>
        <v>42.923451</v>
      </c>
      <c r="H376" s="201">
        <f t="shared" ref="H376" si="134">TRUNC((G376*E376),2)</f>
        <v>18026.990000000002</v>
      </c>
    </row>
    <row r="377" spans="1:8" s="71" customFormat="1" ht="47.25" outlineLevel="2" x14ac:dyDescent="0.25">
      <c r="A377" s="68" t="s">
        <v>2359</v>
      </c>
      <c r="B377" s="68" t="s">
        <v>2769</v>
      </c>
      <c r="C377" s="69" t="s">
        <v>2770</v>
      </c>
      <c r="D377" s="68" t="s">
        <v>2771</v>
      </c>
      <c r="E377" s="70">
        <f>'ARQ - QUADRA e VESTIÁRIOS'!F69</f>
        <v>402.3</v>
      </c>
      <c r="F377" s="201">
        <v>11.28</v>
      </c>
      <c r="G377" s="201">
        <f t="shared" si="125"/>
        <v>14.295144000000001</v>
      </c>
      <c r="H377" s="201">
        <f t="shared" si="126"/>
        <v>5750.93</v>
      </c>
    </row>
    <row r="378" spans="1:8" s="278" customFormat="1" ht="31.5" outlineLevel="2" x14ac:dyDescent="0.25">
      <c r="A378" s="68" t="s">
        <v>2360</v>
      </c>
      <c r="B378" s="226">
        <v>95468</v>
      </c>
      <c r="C378" s="246" t="s">
        <v>3064</v>
      </c>
      <c r="D378" s="226" t="s">
        <v>106</v>
      </c>
      <c r="E378" s="70">
        <f>'ARQ - QUADRA e VESTIÁRIOS'!F55+'ARQ - QUADRA e VESTIÁRIOS'!F56</f>
        <v>15.12</v>
      </c>
      <c r="F378" s="221">
        <v>30.79</v>
      </c>
      <c r="G378" s="221">
        <f t="shared" ref="G378" si="135">F378*(1+$E$2)</f>
        <v>39.020167000000001</v>
      </c>
      <c r="H378" s="221">
        <f t="shared" ref="H378" si="136">TRUNC((G378*E378),2)</f>
        <v>589.98</v>
      </c>
    </row>
    <row r="379" spans="1:8" s="278" customFormat="1" outlineLevel="2" x14ac:dyDescent="0.25">
      <c r="A379" s="68" t="s">
        <v>2361</v>
      </c>
      <c r="B379" s="226" t="s">
        <v>2102</v>
      </c>
      <c r="C379" s="246" t="s">
        <v>2103</v>
      </c>
      <c r="D379" s="226" t="s">
        <v>106</v>
      </c>
      <c r="E379" s="70">
        <f>'ARQ - QUADRA e VESTIÁRIOS'!F57</f>
        <v>141.78</v>
      </c>
      <c r="F379" s="221">
        <v>12.45</v>
      </c>
      <c r="G379" s="221">
        <f t="shared" ref="G379" si="137">F379*(1+$E$2)</f>
        <v>15.777884999999999</v>
      </c>
      <c r="H379" s="221">
        <f t="shared" ref="H379" si="138">TRUNC((G379*E379),2)</f>
        <v>2236.98</v>
      </c>
    </row>
    <row r="380" spans="1:8" outlineLevel="1" x14ac:dyDescent="0.25">
      <c r="A380" s="79"/>
      <c r="B380" s="79"/>
      <c r="C380" s="80" t="s">
        <v>14</v>
      </c>
      <c r="D380" s="79"/>
      <c r="E380" s="81"/>
      <c r="F380" s="203"/>
      <c r="G380" s="218"/>
      <c r="H380" s="218">
        <f>SUM(H368:H379)</f>
        <v>149722.39000000001</v>
      </c>
    </row>
    <row r="381" spans="1:8" outlineLevel="1" x14ac:dyDescent="0.25">
      <c r="A381" s="376" t="s">
        <v>371</v>
      </c>
      <c r="B381" s="173"/>
      <c r="C381" s="174" t="s">
        <v>87</v>
      </c>
      <c r="D381" s="173"/>
      <c r="E381" s="176"/>
      <c r="F381" s="206"/>
      <c r="G381" s="219"/>
      <c r="H381" s="206"/>
    </row>
    <row r="382" spans="1:8" ht="31.5" outlineLevel="2" x14ac:dyDescent="0.25">
      <c r="A382" s="68" t="s">
        <v>372</v>
      </c>
      <c r="B382" s="68" t="s">
        <v>782</v>
      </c>
      <c r="C382" s="69" t="s">
        <v>2755</v>
      </c>
      <c r="D382" s="68" t="s">
        <v>106</v>
      </c>
      <c r="E382" s="70">
        <f>'ARQ - QUADRA e VESTIÁRIOS'!F44</f>
        <v>53.26</v>
      </c>
      <c r="F382" s="221">
        <v>50.57</v>
      </c>
      <c r="G382" s="201">
        <f t="shared" ref="G382:G383" si="139">F382*(1+$E$2)</f>
        <v>64.087361000000001</v>
      </c>
      <c r="H382" s="201">
        <f t="shared" ref="H382:H383" si="140">TRUNC((G382*E382),2)</f>
        <v>3413.29</v>
      </c>
    </row>
    <row r="383" spans="1:8" ht="47.25" outlineLevel="2" x14ac:dyDescent="0.25">
      <c r="A383" s="68" t="s">
        <v>2227</v>
      </c>
      <c r="B383" s="226" t="s">
        <v>1574</v>
      </c>
      <c r="C383" s="246" t="s">
        <v>1575</v>
      </c>
      <c r="D383" s="226" t="s">
        <v>106</v>
      </c>
      <c r="E383" s="70">
        <f>'ARQ - QUADRA e VESTIÁRIOS'!F45</f>
        <v>17.53</v>
      </c>
      <c r="F383" s="221">
        <v>568.26</v>
      </c>
      <c r="G383" s="221">
        <f t="shared" si="139"/>
        <v>720.15589800000009</v>
      </c>
      <c r="H383" s="221">
        <f t="shared" si="140"/>
        <v>12624.33</v>
      </c>
    </row>
    <row r="384" spans="1:8" outlineLevel="1" x14ac:dyDescent="0.25">
      <c r="A384" s="122"/>
      <c r="B384" s="79"/>
      <c r="C384" s="80" t="s">
        <v>14</v>
      </c>
      <c r="D384" s="79"/>
      <c r="E384" s="81"/>
      <c r="F384" s="203"/>
      <c r="G384" s="218"/>
      <c r="H384" s="218">
        <f>SUM(H382:H383)</f>
        <v>16037.619999999999</v>
      </c>
    </row>
    <row r="385" spans="1:8" outlineLevel="1" x14ac:dyDescent="0.25">
      <c r="A385" s="173" t="s">
        <v>373</v>
      </c>
      <c r="B385" s="173"/>
      <c r="C385" s="174" t="s">
        <v>81</v>
      </c>
      <c r="D385" s="173"/>
      <c r="E385" s="176"/>
      <c r="F385" s="206"/>
      <c r="G385" s="219"/>
      <c r="H385" s="206"/>
    </row>
    <row r="386" spans="1:8" ht="63" outlineLevel="2" x14ac:dyDescent="0.25">
      <c r="A386" s="68" t="s">
        <v>374</v>
      </c>
      <c r="B386" s="68" t="s">
        <v>795</v>
      </c>
      <c r="C386" s="246" t="s">
        <v>796</v>
      </c>
      <c r="D386" s="68" t="s">
        <v>106</v>
      </c>
      <c r="E386" s="70">
        <f>'ARQ - QUADRA e VESTIÁRIOS'!F60</f>
        <v>3.88</v>
      </c>
      <c r="F386" s="201">
        <v>248.83</v>
      </c>
      <c r="G386" s="201">
        <f t="shared" ref="G386" si="141">F386*(1+$E$2)</f>
        <v>315.34225900000001</v>
      </c>
      <c r="H386" s="201">
        <f t="shared" ref="H386:H396" si="142">TRUNC((G386*E386),2)</f>
        <v>1223.52</v>
      </c>
    </row>
    <row r="387" spans="1:8" ht="31.5" outlineLevel="2" x14ac:dyDescent="0.25">
      <c r="A387" s="68" t="s">
        <v>375</v>
      </c>
      <c r="B387" s="68" t="s">
        <v>2757</v>
      </c>
      <c r="C387" s="69" t="s">
        <v>783</v>
      </c>
      <c r="D387" s="68" t="s">
        <v>106</v>
      </c>
      <c r="E387" s="70">
        <f>'ARQ - QUADRA e VESTIÁRIOS'!F61</f>
        <v>1.49</v>
      </c>
      <c r="F387" s="201">
        <v>359.1</v>
      </c>
      <c r="G387" s="201">
        <f t="shared" ref="G387:G388" si="143">F387*(1+$E$2)</f>
        <v>455.08743000000004</v>
      </c>
      <c r="H387" s="201">
        <f t="shared" si="142"/>
        <v>678.08</v>
      </c>
    </row>
    <row r="388" spans="1:8" s="71" customFormat="1" ht="31.5" outlineLevel="2" x14ac:dyDescent="0.25">
      <c r="A388" s="68" t="s">
        <v>2362</v>
      </c>
      <c r="B388" s="68" t="s">
        <v>799</v>
      </c>
      <c r="C388" s="69" t="s">
        <v>800</v>
      </c>
      <c r="D388" s="68" t="s">
        <v>56</v>
      </c>
      <c r="E388" s="70">
        <f>'ARQ - QUADRA e VESTIÁRIOS'!F62</f>
        <v>18</v>
      </c>
      <c r="F388" s="201">
        <v>212.79</v>
      </c>
      <c r="G388" s="201">
        <f t="shared" si="143"/>
        <v>269.668767</v>
      </c>
      <c r="H388" s="201">
        <f t="shared" si="142"/>
        <v>4854.03</v>
      </c>
    </row>
    <row r="389" spans="1:8" s="71" customFormat="1" ht="31.5" outlineLevel="2" x14ac:dyDescent="0.25">
      <c r="A389" s="68" t="s">
        <v>2363</v>
      </c>
      <c r="B389" s="68" t="s">
        <v>1908</v>
      </c>
      <c r="C389" s="69" t="s">
        <v>1909</v>
      </c>
      <c r="D389" s="68" t="s">
        <v>56</v>
      </c>
      <c r="E389" s="70">
        <f>'ARQ - QUADRA e VESTIÁRIOS'!F63</f>
        <v>6</v>
      </c>
      <c r="F389" s="201">
        <v>172.38</v>
      </c>
      <c r="G389" s="201">
        <f t="shared" ref="G389:G392" si="144">F389*(1+$E$2)</f>
        <v>218.45717400000001</v>
      </c>
      <c r="H389" s="201">
        <f t="shared" si="142"/>
        <v>1310.74</v>
      </c>
    </row>
    <row r="390" spans="1:8" s="71" customFormat="1" ht="31.5" outlineLevel="2" x14ac:dyDescent="0.25">
      <c r="A390" s="68" t="s">
        <v>2364</v>
      </c>
      <c r="B390" s="68" t="s">
        <v>2542</v>
      </c>
      <c r="C390" s="246" t="s">
        <v>2543</v>
      </c>
      <c r="D390" s="68" t="s">
        <v>56</v>
      </c>
      <c r="E390" s="70">
        <f>'ARQ - QUADRA e VESTIÁRIOS'!F64</f>
        <v>2</v>
      </c>
      <c r="F390" s="221">
        <v>1316.98</v>
      </c>
      <c r="G390" s="201">
        <f t="shared" ref="G390" si="145">F390*(1+$E$2)</f>
        <v>1669.0087540000002</v>
      </c>
      <c r="H390" s="201">
        <f t="shared" si="142"/>
        <v>3338.01</v>
      </c>
    </row>
    <row r="391" spans="1:8" s="71" customFormat="1" ht="31.5" outlineLevel="2" x14ac:dyDescent="0.25">
      <c r="A391" s="68" t="s">
        <v>2365</v>
      </c>
      <c r="B391" s="115" t="s">
        <v>1931</v>
      </c>
      <c r="C391" s="116" t="s">
        <v>2758</v>
      </c>
      <c r="D391" s="68" t="s">
        <v>56</v>
      </c>
      <c r="E391" s="70">
        <f>'ARQ - QUADRA e VESTIÁRIOS'!F65</f>
        <v>2</v>
      </c>
      <c r="F391" s="201">
        <v>2250</v>
      </c>
      <c r="G391" s="201">
        <f t="shared" ref="G391" si="146">F391*(1+$E$2)</f>
        <v>2851.4250000000002</v>
      </c>
      <c r="H391" s="201">
        <f t="shared" si="142"/>
        <v>5702.85</v>
      </c>
    </row>
    <row r="392" spans="1:8" s="71" customFormat="1" ht="47.25" outlineLevel="2" x14ac:dyDescent="0.25">
      <c r="A392" s="68" t="s">
        <v>2366</v>
      </c>
      <c r="B392" s="115" t="s">
        <v>952</v>
      </c>
      <c r="C392" s="116" t="s">
        <v>2759</v>
      </c>
      <c r="D392" s="68" t="s">
        <v>56</v>
      </c>
      <c r="E392" s="70">
        <f>'ARQ - QUADRA e VESTIÁRIOS'!F66</f>
        <v>54</v>
      </c>
      <c r="F392" s="201">
        <v>290</v>
      </c>
      <c r="G392" s="201">
        <f t="shared" si="144"/>
        <v>367.51700000000005</v>
      </c>
      <c r="H392" s="201">
        <f t="shared" si="142"/>
        <v>19845.91</v>
      </c>
    </row>
    <row r="393" spans="1:8" ht="63" outlineLevel="2" x14ac:dyDescent="0.25">
      <c r="A393" s="68" t="s">
        <v>2367</v>
      </c>
      <c r="B393" s="68" t="s">
        <v>835</v>
      </c>
      <c r="C393" s="69" t="s">
        <v>836</v>
      </c>
      <c r="D393" s="68" t="s">
        <v>272</v>
      </c>
      <c r="E393" s="70">
        <f>'ARQ - QUADRA e VESTIÁRIOS'!F71</f>
        <v>1</v>
      </c>
      <c r="F393" s="201">
        <v>2617.77</v>
      </c>
      <c r="G393" s="201">
        <f>F393*(1+$E$3)</f>
        <v>3046.8225029999999</v>
      </c>
      <c r="H393" s="201">
        <f t="shared" si="142"/>
        <v>3046.82</v>
      </c>
    </row>
    <row r="394" spans="1:8" ht="63" outlineLevel="2" x14ac:dyDescent="0.25">
      <c r="A394" s="68" t="s">
        <v>2368</v>
      </c>
      <c r="B394" s="68" t="s">
        <v>837</v>
      </c>
      <c r="C394" s="69" t="s">
        <v>838</v>
      </c>
      <c r="D394" s="68" t="s">
        <v>272</v>
      </c>
      <c r="E394" s="70">
        <f>'ARQ - QUADRA e VESTIÁRIOS'!F72</f>
        <v>1</v>
      </c>
      <c r="F394" s="201">
        <v>1589.21</v>
      </c>
      <c r="G394" s="201">
        <f>F394*(1+$E$3)</f>
        <v>1849.681519</v>
      </c>
      <c r="H394" s="201">
        <f t="shared" si="142"/>
        <v>1849.68</v>
      </c>
    </row>
    <row r="395" spans="1:8" ht="47.25" outlineLevel="2" x14ac:dyDescent="0.25">
      <c r="A395" s="68" t="s">
        <v>2369</v>
      </c>
      <c r="B395" s="68" t="s">
        <v>839</v>
      </c>
      <c r="C395" s="69" t="s">
        <v>840</v>
      </c>
      <c r="D395" s="68" t="s">
        <v>56</v>
      </c>
      <c r="E395" s="70">
        <f>'ARQ - QUADRA e VESTIÁRIOS'!F70*2</f>
        <v>2</v>
      </c>
      <c r="F395" s="201">
        <v>2354.9299999999998</v>
      </c>
      <c r="G395" s="201">
        <f t="shared" ref="G395" si="147">F395*(1+$E$2)</f>
        <v>2984.4027890000002</v>
      </c>
      <c r="H395" s="201">
        <f t="shared" si="142"/>
        <v>5968.8</v>
      </c>
    </row>
    <row r="396" spans="1:8" ht="47.25" outlineLevel="2" x14ac:dyDescent="0.25">
      <c r="A396" s="68" t="s">
        <v>2370</v>
      </c>
      <c r="B396" s="68" t="s">
        <v>841</v>
      </c>
      <c r="C396" s="69" t="s">
        <v>842</v>
      </c>
      <c r="D396" s="68" t="s">
        <v>272</v>
      </c>
      <c r="E396" s="70">
        <f>'ARQ - QUADRA e VESTIÁRIOS'!F70</f>
        <v>1</v>
      </c>
      <c r="F396" s="201">
        <v>993.63</v>
      </c>
      <c r="G396" s="201">
        <f>F396*(1+$E$3)</f>
        <v>1156.4859569999999</v>
      </c>
      <c r="H396" s="201">
        <f t="shared" si="142"/>
        <v>1156.48</v>
      </c>
    </row>
    <row r="397" spans="1:8" outlineLevel="1" x14ac:dyDescent="0.25">
      <c r="A397" s="79"/>
      <c r="B397" s="79"/>
      <c r="C397" s="80" t="s">
        <v>14</v>
      </c>
      <c r="D397" s="79"/>
      <c r="E397" s="81"/>
      <c r="F397" s="203"/>
      <c r="G397" s="218"/>
      <c r="H397" s="218">
        <f>SUM(H386:H396)</f>
        <v>48974.920000000006</v>
      </c>
    </row>
    <row r="398" spans="1:8" outlineLevel="1" x14ac:dyDescent="0.25">
      <c r="A398" s="173" t="s">
        <v>376</v>
      </c>
      <c r="B398" s="173"/>
      <c r="C398" s="174" t="s">
        <v>13</v>
      </c>
      <c r="D398" s="173"/>
      <c r="E398" s="176"/>
      <c r="F398" s="206"/>
      <c r="G398" s="219"/>
      <c r="H398" s="206"/>
    </row>
    <row r="399" spans="1:8" outlineLevel="2" x14ac:dyDescent="0.25">
      <c r="A399" s="68" t="s">
        <v>377</v>
      </c>
      <c r="B399" s="68">
        <v>9537</v>
      </c>
      <c r="C399" s="69" t="s">
        <v>785</v>
      </c>
      <c r="D399" s="68" t="s">
        <v>159</v>
      </c>
      <c r="E399" s="70">
        <f>'ARQ - QUADRA e VESTIÁRIOS'!F78</f>
        <v>1566.94</v>
      </c>
      <c r="F399" s="201">
        <v>2.09</v>
      </c>
      <c r="G399" s="201">
        <f t="shared" ref="G399" si="148">F399*(1+$E$2)</f>
        <v>2.648657</v>
      </c>
      <c r="H399" s="201">
        <f t="shared" ref="H399" si="149">TRUNC((G399*E399),2)</f>
        <v>4150.28</v>
      </c>
    </row>
    <row r="400" spans="1:8" outlineLevel="1" x14ac:dyDescent="0.25">
      <c r="A400" s="122"/>
      <c r="B400" s="79"/>
      <c r="C400" s="80" t="s">
        <v>14</v>
      </c>
      <c r="D400" s="79"/>
      <c r="E400" s="81"/>
      <c r="F400" s="203"/>
      <c r="G400" s="218"/>
      <c r="H400" s="218">
        <f>SUM(H399)</f>
        <v>4150.28</v>
      </c>
    </row>
    <row r="401" spans="1:8" x14ac:dyDescent="0.25">
      <c r="A401" s="66"/>
      <c r="B401" s="66"/>
      <c r="C401" s="67" t="s">
        <v>636</v>
      </c>
      <c r="D401" s="66"/>
      <c r="E401" s="276"/>
      <c r="F401" s="204"/>
      <c r="G401" s="202"/>
      <c r="H401" s="204">
        <f>H273+H293+H304+H315+H323+H332+H337+H346+H353+H358+H366+H380+H384+H397+H400</f>
        <v>1861081.5400000003</v>
      </c>
    </row>
    <row r="402" spans="1:8" x14ac:dyDescent="0.25">
      <c r="A402" s="699" t="s">
        <v>634</v>
      </c>
      <c r="B402" s="699"/>
      <c r="C402" s="699"/>
      <c r="D402" s="699"/>
      <c r="E402" s="699"/>
      <c r="F402" s="699"/>
      <c r="G402" s="699"/>
      <c r="H402" s="699"/>
    </row>
    <row r="403" spans="1:8" outlineLevel="1" x14ac:dyDescent="0.25">
      <c r="A403" s="173" t="s">
        <v>378</v>
      </c>
      <c r="B403" s="173"/>
      <c r="C403" s="174" t="s">
        <v>55</v>
      </c>
      <c r="D403" s="173"/>
      <c r="E403" s="176"/>
      <c r="F403" s="206"/>
      <c r="G403" s="201"/>
      <c r="H403" s="206"/>
    </row>
    <row r="404" spans="1:8" outlineLevel="2" x14ac:dyDescent="0.25">
      <c r="A404" s="68" t="s">
        <v>379</v>
      </c>
      <c r="B404" s="68" t="s">
        <v>2772</v>
      </c>
      <c r="C404" s="69" t="s">
        <v>834</v>
      </c>
      <c r="D404" s="68" t="s">
        <v>106</v>
      </c>
      <c r="E404" s="70">
        <f>'ARQ - BLOCO DE SALAS'!F93</f>
        <v>3219.94</v>
      </c>
      <c r="F404" s="201">
        <v>11.13</v>
      </c>
      <c r="G404" s="201">
        <f t="shared" ref="G404:G406" si="150">F404*(1+$E$2)</f>
        <v>14.105049000000003</v>
      </c>
      <c r="H404" s="201">
        <f t="shared" ref="H404:H406" si="151">TRUNC((G404*E404),2)</f>
        <v>45417.41</v>
      </c>
    </row>
    <row r="405" spans="1:8" s="71" customFormat="1" ht="31.5" outlineLevel="2" x14ac:dyDescent="0.25">
      <c r="A405" s="68" t="s">
        <v>3351</v>
      </c>
      <c r="B405" s="68" t="s">
        <v>3119</v>
      </c>
      <c r="C405" s="69" t="s">
        <v>3118</v>
      </c>
      <c r="D405" s="68" t="s">
        <v>56</v>
      </c>
      <c r="E405" s="70">
        <f>'ARQ - BLOCO DE SALAS'!F94</f>
        <v>32</v>
      </c>
      <c r="F405" s="201">
        <v>179.55</v>
      </c>
      <c r="G405" s="201">
        <f t="shared" si="150"/>
        <v>227.54371500000002</v>
      </c>
      <c r="H405" s="201">
        <f t="shared" si="151"/>
        <v>7281.39</v>
      </c>
    </row>
    <row r="406" spans="1:8" ht="31.5" outlineLevel="2" x14ac:dyDescent="0.25">
      <c r="A406" s="68" t="s">
        <v>3352</v>
      </c>
      <c r="B406" s="68" t="s">
        <v>879</v>
      </c>
      <c r="C406" s="69" t="s">
        <v>2773</v>
      </c>
      <c r="D406" s="68" t="s">
        <v>56</v>
      </c>
      <c r="E406" s="70">
        <f>'ARQ - BLOCO DE SALAS'!F95</f>
        <v>14</v>
      </c>
      <c r="F406" s="221">
        <v>112.31</v>
      </c>
      <c r="G406" s="201">
        <f t="shared" si="150"/>
        <v>142.33046300000001</v>
      </c>
      <c r="H406" s="201">
        <f t="shared" si="151"/>
        <v>1992.62</v>
      </c>
    </row>
    <row r="407" spans="1:8" outlineLevel="1" x14ac:dyDescent="0.25">
      <c r="A407" s="122"/>
      <c r="B407" s="79"/>
      <c r="C407" s="80" t="s">
        <v>14</v>
      </c>
      <c r="D407" s="79"/>
      <c r="E407" s="81"/>
      <c r="F407" s="203"/>
      <c r="G407" s="218"/>
      <c r="H407" s="218">
        <f>SUM(H404:H406)</f>
        <v>54691.420000000006</v>
      </c>
    </row>
    <row r="408" spans="1:8" outlineLevel="1" x14ac:dyDescent="0.25">
      <c r="A408" s="173" t="s">
        <v>380</v>
      </c>
      <c r="B408" s="173"/>
      <c r="C408" s="174" t="s">
        <v>641</v>
      </c>
      <c r="D408" s="173"/>
      <c r="E408" s="176"/>
      <c r="F408" s="206"/>
      <c r="G408" s="201"/>
      <c r="H408" s="206"/>
    </row>
    <row r="409" spans="1:8" ht="63" outlineLevel="2" x14ac:dyDescent="0.25">
      <c r="A409" s="68" t="s">
        <v>381</v>
      </c>
      <c r="B409" s="68" t="s">
        <v>2761</v>
      </c>
      <c r="C409" s="69" t="s">
        <v>633</v>
      </c>
      <c r="D409" s="68" t="s">
        <v>99</v>
      </c>
      <c r="E409" s="70">
        <f>'EST - PERGOLADO PLAYGROUD'!I32</f>
        <v>132</v>
      </c>
      <c r="F409" s="221">
        <v>67.56</v>
      </c>
      <c r="G409" s="201">
        <f t="shared" ref="G409" si="152">F409*(1+$E$2)</f>
        <v>85.618788000000009</v>
      </c>
      <c r="H409" s="201">
        <f t="shared" ref="H409:H425" si="153">TRUNC((G409*E409),2)</f>
        <v>11301.68</v>
      </c>
    </row>
    <row r="410" spans="1:8" outlineLevel="2" x14ac:dyDescent="0.25">
      <c r="A410" s="68" t="s">
        <v>2228</v>
      </c>
      <c r="B410" s="68" t="s">
        <v>2707</v>
      </c>
      <c r="C410" s="69" t="s">
        <v>503</v>
      </c>
      <c r="D410" s="68" t="s">
        <v>273</v>
      </c>
      <c r="E410" s="70">
        <f>'EST - PERGOLADO PLAYGROUD'!I6</f>
        <v>43.654300000000006</v>
      </c>
      <c r="F410" s="221">
        <v>54.9</v>
      </c>
      <c r="G410" s="201">
        <f t="shared" ref="G410:G425" si="154">F410*(1+$E$2)</f>
        <v>69.574770000000001</v>
      </c>
      <c r="H410" s="201">
        <f t="shared" si="153"/>
        <v>3037.23</v>
      </c>
    </row>
    <row r="411" spans="1:8" ht="47.25" outlineLevel="2" x14ac:dyDescent="0.25">
      <c r="A411" s="68" t="s">
        <v>2229</v>
      </c>
      <c r="B411" s="68" t="s">
        <v>2708</v>
      </c>
      <c r="C411" s="69" t="s">
        <v>504</v>
      </c>
      <c r="D411" s="68" t="s">
        <v>106</v>
      </c>
      <c r="E411" s="70">
        <f>'EST - PERGOLADO PLAYGROUD'!I10</f>
        <v>51.358000000000004</v>
      </c>
      <c r="F411" s="201">
        <v>4.18</v>
      </c>
      <c r="G411" s="201">
        <f t="shared" si="154"/>
        <v>5.2973140000000001</v>
      </c>
      <c r="H411" s="201">
        <f t="shared" si="153"/>
        <v>272.05</v>
      </c>
    </row>
    <row r="412" spans="1:8" ht="31.5" outlineLevel="2" x14ac:dyDescent="0.25">
      <c r="A412" s="68" t="s">
        <v>2230</v>
      </c>
      <c r="B412" s="68" t="s">
        <v>2709</v>
      </c>
      <c r="C412" s="69" t="s">
        <v>505</v>
      </c>
      <c r="D412" s="226" t="s">
        <v>106</v>
      </c>
      <c r="E412" s="70">
        <f>'EST - PERGOLADO PLAYGROUD'!I12</f>
        <v>51.357999999999997</v>
      </c>
      <c r="F412" s="201">
        <v>19.12</v>
      </c>
      <c r="G412" s="201">
        <f t="shared" si="154"/>
        <v>24.230776000000002</v>
      </c>
      <c r="H412" s="201">
        <f t="shared" si="153"/>
        <v>1244.44</v>
      </c>
    </row>
    <row r="413" spans="1:8" ht="31.5" outlineLevel="2" x14ac:dyDescent="0.25">
      <c r="A413" s="68" t="s">
        <v>2231</v>
      </c>
      <c r="B413" s="68" t="s">
        <v>2710</v>
      </c>
      <c r="C413" s="69" t="s">
        <v>513</v>
      </c>
      <c r="D413" s="68" t="s">
        <v>106</v>
      </c>
      <c r="E413" s="70">
        <f>'EST - PERGOLADO PLAYGROUD'!I20+'EST - PERGOLADO PLAYGROUD'!I26+'EST - PERGOLADO PLAYGROUD'!I34</f>
        <v>48.43</v>
      </c>
      <c r="F413" s="201">
        <v>45.06</v>
      </c>
      <c r="G413" s="201">
        <f t="shared" si="154"/>
        <v>57.104538000000005</v>
      </c>
      <c r="H413" s="201">
        <f t="shared" si="153"/>
        <v>2765.57</v>
      </c>
    </row>
    <row r="414" spans="1:8" ht="47.25" outlineLevel="2" x14ac:dyDescent="0.25">
      <c r="A414" s="68" t="s">
        <v>2232</v>
      </c>
      <c r="B414" s="68" t="s">
        <v>79</v>
      </c>
      <c r="C414" s="69" t="s">
        <v>515</v>
      </c>
      <c r="D414" s="68" t="s">
        <v>273</v>
      </c>
      <c r="E414" s="70">
        <f>'EST - PERGOLADO PLAYGROUD'!I21+'EST - PERGOLADO PLAYGROUD'!I27+'EST - PERGOLADO PLAYGROUD'!I35</f>
        <v>10.19</v>
      </c>
      <c r="F414" s="201">
        <v>294.68</v>
      </c>
      <c r="G414" s="201">
        <f t="shared" si="154"/>
        <v>373.44796400000001</v>
      </c>
      <c r="H414" s="201">
        <f t="shared" si="153"/>
        <v>3805.43</v>
      </c>
    </row>
    <row r="415" spans="1:8" ht="31.5" outlineLevel="2" x14ac:dyDescent="0.25">
      <c r="A415" s="68" t="s">
        <v>2233</v>
      </c>
      <c r="B415" s="68" t="s">
        <v>2711</v>
      </c>
      <c r="C415" s="69" t="s">
        <v>514</v>
      </c>
      <c r="D415" s="68" t="s">
        <v>273</v>
      </c>
      <c r="E415" s="70">
        <f>'EST - PERGOLADO PLAYGROUD'!I22+'EST - PERGOLADO PLAYGROUD'!I28+'EST - PERGOLADO PLAYGROUD'!I36</f>
        <v>10.19</v>
      </c>
      <c r="F415" s="201">
        <v>23.69</v>
      </c>
      <c r="G415" s="201">
        <f t="shared" si="154"/>
        <v>30.022337000000004</v>
      </c>
      <c r="H415" s="201">
        <f t="shared" si="153"/>
        <v>305.92</v>
      </c>
    </row>
    <row r="416" spans="1:8" ht="63" outlineLevel="2" x14ac:dyDescent="0.25">
      <c r="A416" s="68" t="s">
        <v>2371</v>
      </c>
      <c r="B416" s="68" t="s">
        <v>521</v>
      </c>
      <c r="C416" s="69" t="s">
        <v>520</v>
      </c>
      <c r="D416" s="68" t="s">
        <v>92</v>
      </c>
      <c r="E416" s="70">
        <f>'EST - PERGOLADO PLAYGROUD'!I23+'EST - PERGOLADO PLAYGROUD'!I29</f>
        <v>109.38999999999999</v>
      </c>
      <c r="F416" s="201">
        <v>10.97</v>
      </c>
      <c r="G416" s="201">
        <f t="shared" si="154"/>
        <v>13.902281000000002</v>
      </c>
      <c r="H416" s="201">
        <f t="shared" si="153"/>
        <v>1520.77</v>
      </c>
    </row>
    <row r="417" spans="1:8" ht="63" outlineLevel="2" x14ac:dyDescent="0.25">
      <c r="A417" s="68" t="s">
        <v>2372</v>
      </c>
      <c r="B417" s="68" t="s">
        <v>525</v>
      </c>
      <c r="C417" s="69" t="s">
        <v>524</v>
      </c>
      <c r="D417" s="68" t="s">
        <v>92</v>
      </c>
      <c r="E417" s="70">
        <f>'EST - PERGOLADO PLAYGROUD'!I30+'EST - PERGOLADO PLAYGROUD'!I37</f>
        <v>333.15999999999997</v>
      </c>
      <c r="F417" s="201">
        <v>9.41</v>
      </c>
      <c r="G417" s="201">
        <f t="shared" si="154"/>
        <v>11.925293000000002</v>
      </c>
      <c r="H417" s="201">
        <f t="shared" si="153"/>
        <v>3973.03</v>
      </c>
    </row>
    <row r="418" spans="1:8" ht="71.25" customHeight="1" outlineLevel="2" x14ac:dyDescent="0.25">
      <c r="A418" s="68" t="s">
        <v>2373</v>
      </c>
      <c r="B418" s="68" t="s">
        <v>517</v>
      </c>
      <c r="C418" s="69" t="s">
        <v>516</v>
      </c>
      <c r="D418" s="68" t="s">
        <v>92</v>
      </c>
      <c r="E418" s="70">
        <f>'EST - PERGOLADO PLAYGROUD'!I24+'EST - PERGOLADO PLAYGROUD'!I31</f>
        <v>245.85000000000002</v>
      </c>
      <c r="F418" s="201">
        <v>7.55</v>
      </c>
      <c r="G418" s="201">
        <f t="shared" si="154"/>
        <v>9.5681150000000006</v>
      </c>
      <c r="H418" s="201">
        <f t="shared" si="153"/>
        <v>2352.3200000000002</v>
      </c>
    </row>
    <row r="419" spans="1:8" ht="63" outlineLevel="2" x14ac:dyDescent="0.25">
      <c r="A419" s="68" t="s">
        <v>2374</v>
      </c>
      <c r="B419" s="68" t="s">
        <v>519</v>
      </c>
      <c r="C419" s="69" t="s">
        <v>518</v>
      </c>
      <c r="D419" s="68" t="s">
        <v>92</v>
      </c>
      <c r="E419" s="70">
        <f>'EST - PERGOLADO PLAYGROUD'!I38</f>
        <v>255.23</v>
      </c>
      <c r="F419" s="201">
        <v>6.28</v>
      </c>
      <c r="G419" s="201">
        <f t="shared" si="154"/>
        <v>7.9586440000000005</v>
      </c>
      <c r="H419" s="201">
        <f t="shared" si="153"/>
        <v>2031.28</v>
      </c>
    </row>
    <row r="420" spans="1:8" outlineLevel="2" x14ac:dyDescent="0.25">
      <c r="A420" s="68" t="s">
        <v>2375</v>
      </c>
      <c r="B420" s="68" t="s">
        <v>259</v>
      </c>
      <c r="C420" s="69" t="s">
        <v>506</v>
      </c>
      <c r="D420" s="68" t="s">
        <v>273</v>
      </c>
      <c r="E420" s="70">
        <f>'EST - PERGOLADO PLAYGROUD'!I9</f>
        <v>33.794300000000007</v>
      </c>
      <c r="F420" s="201">
        <v>41.64</v>
      </c>
      <c r="G420" s="201">
        <f t="shared" si="154"/>
        <v>52.770372000000002</v>
      </c>
      <c r="H420" s="201">
        <f t="shared" si="153"/>
        <v>1783.33</v>
      </c>
    </row>
    <row r="421" spans="1:8" ht="71.25" customHeight="1" outlineLevel="2" x14ac:dyDescent="0.25">
      <c r="A421" s="68" t="s">
        <v>2376</v>
      </c>
      <c r="B421" s="68" t="s">
        <v>508</v>
      </c>
      <c r="C421" s="69" t="s">
        <v>507</v>
      </c>
      <c r="D421" s="68" t="s">
        <v>273</v>
      </c>
      <c r="E421" s="70">
        <f>'EST - PERGOLADO PLAYGROUD'!I13</f>
        <v>13.803999999999998</v>
      </c>
      <c r="F421" s="201">
        <v>1.44</v>
      </c>
      <c r="G421" s="201">
        <f t="shared" si="154"/>
        <v>1.8249120000000001</v>
      </c>
      <c r="H421" s="201">
        <f t="shared" si="153"/>
        <v>25.19</v>
      </c>
    </row>
    <row r="422" spans="1:8" ht="47.25" outlineLevel="2" x14ac:dyDescent="0.25">
      <c r="A422" s="68" t="s">
        <v>2377</v>
      </c>
      <c r="B422" s="68" t="s">
        <v>2703</v>
      </c>
      <c r="C422" s="69" t="s">
        <v>509</v>
      </c>
      <c r="D422" s="68" t="s">
        <v>2696</v>
      </c>
      <c r="E422" s="70">
        <f>E421*10</f>
        <v>138.04</v>
      </c>
      <c r="F422" s="201">
        <v>1.2</v>
      </c>
      <c r="G422" s="201">
        <f t="shared" si="154"/>
        <v>1.5207600000000001</v>
      </c>
      <c r="H422" s="201">
        <f t="shared" si="153"/>
        <v>209.92</v>
      </c>
    </row>
    <row r="423" spans="1:8" ht="31.5" outlineLevel="2" x14ac:dyDescent="0.25">
      <c r="A423" s="68" t="s">
        <v>2378</v>
      </c>
      <c r="B423" s="68" t="s">
        <v>593</v>
      </c>
      <c r="C423" s="69" t="s">
        <v>592</v>
      </c>
      <c r="D423" s="68" t="s">
        <v>92</v>
      </c>
      <c r="E423" s="70">
        <f>'EST - PERGOLADO PLAYGROUD'!I43</f>
        <v>1273.76</v>
      </c>
      <c r="F423" s="201">
        <v>6.89</v>
      </c>
      <c r="G423" s="201">
        <f t="shared" si="154"/>
        <v>8.7316970000000005</v>
      </c>
      <c r="H423" s="201">
        <f t="shared" si="153"/>
        <v>11122.08</v>
      </c>
    </row>
    <row r="424" spans="1:8" ht="31.5" outlineLevel="2" x14ac:dyDescent="0.25">
      <c r="A424" s="68" t="s">
        <v>3005</v>
      </c>
      <c r="B424" s="68" t="s">
        <v>1555</v>
      </c>
      <c r="C424" s="69" t="s">
        <v>1554</v>
      </c>
      <c r="D424" s="68" t="s">
        <v>106</v>
      </c>
      <c r="E424" s="70">
        <f>'EST - PERGOLADO PLAYGROUD'!I44</f>
        <v>68.14</v>
      </c>
      <c r="F424" s="201">
        <v>21.24</v>
      </c>
      <c r="G424" s="201">
        <f t="shared" si="154"/>
        <v>26.917452000000001</v>
      </c>
      <c r="H424" s="201">
        <f t="shared" si="153"/>
        <v>1834.15</v>
      </c>
    </row>
    <row r="425" spans="1:8" ht="47.25" outlineLevel="2" x14ac:dyDescent="0.25">
      <c r="A425" s="68" t="s">
        <v>3006</v>
      </c>
      <c r="B425" s="68" t="s">
        <v>2726</v>
      </c>
      <c r="C425" s="69" t="s">
        <v>1901</v>
      </c>
      <c r="D425" s="68" t="s">
        <v>99</v>
      </c>
      <c r="E425" s="70">
        <f>'EST - PERGOLADO PLAYGROUD'!I45</f>
        <v>24.72</v>
      </c>
      <c r="F425" s="201">
        <v>54.91</v>
      </c>
      <c r="G425" s="201">
        <f t="shared" si="154"/>
        <v>69.587443000000007</v>
      </c>
      <c r="H425" s="201">
        <f t="shared" si="153"/>
        <v>1720.2</v>
      </c>
    </row>
    <row r="426" spans="1:8" outlineLevel="1" x14ac:dyDescent="0.25">
      <c r="A426" s="122"/>
      <c r="B426" s="79"/>
      <c r="C426" s="80" t="s">
        <v>14</v>
      </c>
      <c r="D426" s="79"/>
      <c r="E426" s="81"/>
      <c r="F426" s="203"/>
      <c r="G426" s="218"/>
      <c r="H426" s="218">
        <f>SUM(H409:H425)</f>
        <v>49304.59</v>
      </c>
    </row>
    <row r="427" spans="1:8" ht="31.5" outlineLevel="1" x14ac:dyDescent="0.25">
      <c r="A427" s="173" t="s">
        <v>382</v>
      </c>
      <c r="B427" s="173"/>
      <c r="C427" s="174" t="s">
        <v>776</v>
      </c>
      <c r="D427" s="173"/>
      <c r="E427" s="176"/>
      <c r="F427" s="206"/>
      <c r="G427" s="220"/>
      <c r="H427" s="206"/>
    </row>
    <row r="428" spans="1:8" ht="31.5" outlineLevel="2" x14ac:dyDescent="0.25">
      <c r="A428" s="68" t="s">
        <v>383</v>
      </c>
      <c r="B428" s="68" t="s">
        <v>843</v>
      </c>
      <c r="C428" s="69" t="s">
        <v>844</v>
      </c>
      <c r="D428" s="68" t="s">
        <v>99</v>
      </c>
      <c r="E428" s="70">
        <f>'ARQ - BLOCO DE SALAS'!F109</f>
        <v>213.89000000000001</v>
      </c>
      <c r="F428" s="201">
        <v>249.08</v>
      </c>
      <c r="G428" s="201">
        <f t="shared" ref="G428:G434" si="155">F428*(1+$E$2)</f>
        <v>315.65908400000006</v>
      </c>
      <c r="H428" s="201">
        <f t="shared" ref="H428:H436" si="156">TRUNC((G428*E428),2)</f>
        <v>67516.320000000007</v>
      </c>
    </row>
    <row r="429" spans="1:8" ht="47.25" outlineLevel="2" x14ac:dyDescent="0.25">
      <c r="A429" s="68" t="s">
        <v>384</v>
      </c>
      <c r="B429" s="68" t="s">
        <v>2590</v>
      </c>
      <c r="C429" s="69" t="s">
        <v>2774</v>
      </c>
      <c r="D429" s="68" t="s">
        <v>99</v>
      </c>
      <c r="E429" s="70">
        <f>'ARQ - BLOCO DE SALAS'!F110+'ARQ - BLOCO DE SALAS'!F111</f>
        <v>517.15000000000009</v>
      </c>
      <c r="F429" s="201">
        <v>588.74</v>
      </c>
      <c r="G429" s="201">
        <f>F429*(1+$E$2)</f>
        <v>746.11020200000007</v>
      </c>
      <c r="H429" s="201">
        <f t="shared" si="156"/>
        <v>385850.89</v>
      </c>
    </row>
    <row r="430" spans="1:8" ht="63" outlineLevel="2" x14ac:dyDescent="0.25">
      <c r="A430" s="68" t="s">
        <v>385</v>
      </c>
      <c r="B430" s="68" t="s">
        <v>2775</v>
      </c>
      <c r="C430" s="69" t="s">
        <v>831</v>
      </c>
      <c r="D430" s="68" t="s">
        <v>106</v>
      </c>
      <c r="E430" s="70">
        <f>'ARQ - BLOCO DE SALAS'!F69</f>
        <v>658.44</v>
      </c>
      <c r="F430" s="201">
        <v>50.14</v>
      </c>
      <c r="G430" s="201">
        <f t="shared" si="155"/>
        <v>63.542422000000002</v>
      </c>
      <c r="H430" s="201">
        <f t="shared" si="156"/>
        <v>41838.870000000003</v>
      </c>
    </row>
    <row r="431" spans="1:8" ht="78.75" outlineLevel="2" x14ac:dyDescent="0.25">
      <c r="A431" s="68" t="s">
        <v>386</v>
      </c>
      <c r="B431" s="115" t="s">
        <v>2776</v>
      </c>
      <c r="C431" s="116" t="s">
        <v>2198</v>
      </c>
      <c r="D431" s="68" t="s">
        <v>99</v>
      </c>
      <c r="E431" s="70">
        <f>'ARQ - BLOCO DE SALAS'!F71</f>
        <v>970.92</v>
      </c>
      <c r="F431" s="201">
        <v>32.97</v>
      </c>
      <c r="G431" s="201">
        <f t="shared" si="155"/>
        <v>41.782881000000003</v>
      </c>
      <c r="H431" s="201">
        <f t="shared" si="156"/>
        <v>40567.83</v>
      </c>
    </row>
    <row r="432" spans="1:8" ht="78.75" outlineLevel="2" x14ac:dyDescent="0.25">
      <c r="A432" s="68" t="s">
        <v>387</v>
      </c>
      <c r="B432" s="115" t="s">
        <v>2777</v>
      </c>
      <c r="C432" s="116" t="s">
        <v>2197</v>
      </c>
      <c r="D432" s="68" t="s">
        <v>99</v>
      </c>
      <c r="E432" s="70">
        <f>'ARQ - BLOCO DE SALAS'!F72</f>
        <v>19.920000000000002</v>
      </c>
      <c r="F432" s="201">
        <v>35.729999999999997</v>
      </c>
      <c r="G432" s="201">
        <f t="shared" ref="G432" si="157">F432*(1+$E$2)</f>
        <v>45.280628999999998</v>
      </c>
      <c r="H432" s="201">
        <f t="shared" si="156"/>
        <v>901.99</v>
      </c>
    </row>
    <row r="433" spans="1:8" ht="47.25" outlineLevel="2" x14ac:dyDescent="0.25">
      <c r="A433" s="68" t="s">
        <v>388</v>
      </c>
      <c r="B433" s="115" t="s">
        <v>2779</v>
      </c>
      <c r="C433" s="116" t="s">
        <v>833</v>
      </c>
      <c r="D433" s="68" t="s">
        <v>106</v>
      </c>
      <c r="E433" s="70">
        <f>'ARQ - BLOCO DE SALAS'!F74</f>
        <v>1335.87</v>
      </c>
      <c r="F433" s="201">
        <v>46.54</v>
      </c>
      <c r="G433" s="201">
        <f t="shared" si="155"/>
        <v>58.980142000000001</v>
      </c>
      <c r="H433" s="201">
        <f t="shared" si="156"/>
        <v>78789.8</v>
      </c>
    </row>
    <row r="434" spans="1:8" ht="31.5" outlineLevel="2" x14ac:dyDescent="0.25">
      <c r="A434" s="68" t="s">
        <v>2101</v>
      </c>
      <c r="B434" s="115" t="s">
        <v>2778</v>
      </c>
      <c r="C434" s="116" t="s">
        <v>743</v>
      </c>
      <c r="D434" s="68" t="s">
        <v>106</v>
      </c>
      <c r="E434" s="70">
        <f>'ARQ - BLOCO DE SALAS'!F73</f>
        <v>62.55</v>
      </c>
      <c r="F434" s="201">
        <v>15.93</v>
      </c>
      <c r="G434" s="201">
        <f t="shared" si="155"/>
        <v>20.188089000000002</v>
      </c>
      <c r="H434" s="201">
        <f t="shared" si="156"/>
        <v>1262.76</v>
      </c>
    </row>
    <row r="435" spans="1:8" ht="63" outlineLevel="2" x14ac:dyDescent="0.25">
      <c r="A435" s="68" t="s">
        <v>3140</v>
      </c>
      <c r="B435" s="68">
        <v>94997</v>
      </c>
      <c r="C435" s="69" t="s">
        <v>3139</v>
      </c>
      <c r="D435" s="68" t="s">
        <v>106</v>
      </c>
      <c r="E435" s="70">
        <f>'ARQ - BLOCO DE SALAS'!F70</f>
        <v>1389.92</v>
      </c>
      <c r="F435" s="201">
        <v>68.81</v>
      </c>
      <c r="G435" s="201">
        <f t="shared" ref="G435" si="158">F435*(1+$E$2)</f>
        <v>87.202913000000009</v>
      </c>
      <c r="H435" s="201">
        <f t="shared" si="156"/>
        <v>121205.07</v>
      </c>
    </row>
    <row r="436" spans="1:8" s="71" customFormat="1" ht="63" outlineLevel="2" x14ac:dyDescent="0.25">
      <c r="A436" s="68" t="s">
        <v>3141</v>
      </c>
      <c r="B436" s="68" t="s">
        <v>877</v>
      </c>
      <c r="C436" s="69" t="s">
        <v>878</v>
      </c>
      <c r="D436" s="68" t="s">
        <v>56</v>
      </c>
      <c r="E436" s="70">
        <f>'ARQ - BLOCO DE SALAS'!F108</f>
        <v>1</v>
      </c>
      <c r="F436" s="201">
        <v>6900</v>
      </c>
      <c r="G436" s="201">
        <f>F436*(1+$E$3)</f>
        <v>8030.91</v>
      </c>
      <c r="H436" s="201">
        <f t="shared" si="156"/>
        <v>8030.91</v>
      </c>
    </row>
    <row r="437" spans="1:8" outlineLevel="1" x14ac:dyDescent="0.25">
      <c r="A437" s="122"/>
      <c r="B437" s="79"/>
      <c r="C437" s="80" t="s">
        <v>14</v>
      </c>
      <c r="D437" s="79"/>
      <c r="E437" s="81"/>
      <c r="F437" s="203"/>
      <c r="G437" s="218"/>
      <c r="H437" s="218">
        <f>SUM(H428:H436)</f>
        <v>745964.44000000006</v>
      </c>
    </row>
    <row r="438" spans="1:8" outlineLevel="1" x14ac:dyDescent="0.25">
      <c r="A438" s="173" t="s">
        <v>389</v>
      </c>
      <c r="B438" s="173"/>
      <c r="C438" s="174" t="s">
        <v>881</v>
      </c>
      <c r="D438" s="173"/>
      <c r="E438" s="176"/>
      <c r="F438" s="206"/>
      <c r="G438" s="220"/>
      <c r="H438" s="206"/>
    </row>
    <row r="439" spans="1:8" ht="47.25" outlineLevel="2" x14ac:dyDescent="0.25">
      <c r="A439" s="68" t="s">
        <v>2234</v>
      </c>
      <c r="B439" s="68" t="s">
        <v>797</v>
      </c>
      <c r="C439" s="69" t="s">
        <v>798</v>
      </c>
      <c r="D439" s="68" t="s">
        <v>56</v>
      </c>
      <c r="E439" s="70">
        <f>'ARQ - REFEITÓRIO'!F55</f>
        <v>1</v>
      </c>
      <c r="F439" s="201">
        <v>3299.25</v>
      </c>
      <c r="G439" s="201">
        <f>F439*(1+$E$2)</f>
        <v>4181.1395250000005</v>
      </c>
      <c r="H439" s="201">
        <f>TRUNC((G439*E439),2)</f>
        <v>4181.13</v>
      </c>
    </row>
    <row r="440" spans="1:8" outlineLevel="1" x14ac:dyDescent="0.25">
      <c r="A440" s="122"/>
      <c r="B440" s="79"/>
      <c r="C440" s="80" t="s">
        <v>14</v>
      </c>
      <c r="D440" s="79"/>
      <c r="E440" s="81"/>
      <c r="F440" s="203"/>
      <c r="G440" s="218"/>
      <c r="H440" s="218">
        <f>SUM(H439)</f>
        <v>4181.13</v>
      </c>
    </row>
    <row r="441" spans="1:8" x14ac:dyDescent="0.25">
      <c r="A441" s="66"/>
      <c r="B441" s="66"/>
      <c r="C441" s="67" t="s">
        <v>635</v>
      </c>
      <c r="D441" s="66"/>
      <c r="E441" s="276"/>
      <c r="F441" s="204"/>
      <c r="G441" s="202"/>
      <c r="H441" s="204">
        <f>H407+H426+H437+H440</f>
        <v>854141.58000000007</v>
      </c>
    </row>
    <row r="442" spans="1:8" ht="15.75" customHeight="1" x14ac:dyDescent="0.25">
      <c r="A442" s="699" t="s">
        <v>190</v>
      </c>
      <c r="B442" s="699"/>
      <c r="C442" s="699"/>
      <c r="D442" s="699"/>
      <c r="E442" s="699"/>
      <c r="F442" s="699"/>
      <c r="G442" s="699"/>
      <c r="H442" s="699"/>
    </row>
    <row r="443" spans="1:8" outlineLevel="1" x14ac:dyDescent="0.25">
      <c r="A443" s="170" t="s">
        <v>390</v>
      </c>
      <c r="B443" s="78"/>
      <c r="C443" s="177" t="s">
        <v>328</v>
      </c>
      <c r="D443" s="78"/>
      <c r="E443" s="70"/>
      <c r="F443" s="201"/>
      <c r="G443" s="201"/>
      <c r="H443" s="201"/>
    </row>
    <row r="444" spans="1:8" s="71" customFormat="1" ht="78.75" outlineLevel="2" x14ac:dyDescent="0.25">
      <c r="A444" s="68" t="s">
        <v>391</v>
      </c>
      <c r="B444" s="68" t="s">
        <v>2780</v>
      </c>
      <c r="C444" s="69" t="s">
        <v>645</v>
      </c>
      <c r="D444" s="117" t="s">
        <v>56</v>
      </c>
      <c r="E444" s="117">
        <f>HIDROSANITÁRIO!C5</f>
        <v>4</v>
      </c>
      <c r="F444" s="201">
        <v>83.28</v>
      </c>
      <c r="G444" s="201">
        <f t="shared" ref="G444:G457" si="159">F444*(1+$E$2)</f>
        <v>105.540744</v>
      </c>
      <c r="H444" s="201">
        <f t="shared" ref="H444:H457" si="160">TRUNC((G444*E444),2)</f>
        <v>422.16</v>
      </c>
    </row>
    <row r="445" spans="1:8" s="71" customFormat="1" ht="47.25" outlineLevel="2" x14ac:dyDescent="0.25">
      <c r="A445" s="68" t="s">
        <v>2379</v>
      </c>
      <c r="B445" s="68">
        <v>89415</v>
      </c>
      <c r="C445" s="69" t="s">
        <v>3066</v>
      </c>
      <c r="D445" s="117" t="s">
        <v>56</v>
      </c>
      <c r="E445" s="117">
        <f>HIDROSANITÁRIO!C18</f>
        <v>1</v>
      </c>
      <c r="F445" s="201">
        <v>8.93</v>
      </c>
      <c r="G445" s="201">
        <f t="shared" ref="G445" si="161">F445*(1+$E$2)</f>
        <v>11.316989000000001</v>
      </c>
      <c r="H445" s="201">
        <f t="shared" si="160"/>
        <v>11.31</v>
      </c>
    </row>
    <row r="446" spans="1:8" s="71" customFormat="1" ht="63" outlineLevel="2" x14ac:dyDescent="0.25">
      <c r="A446" s="68" t="s">
        <v>2380</v>
      </c>
      <c r="B446" s="68" t="s">
        <v>2781</v>
      </c>
      <c r="C446" s="69" t="s">
        <v>2782</v>
      </c>
      <c r="D446" s="117" t="s">
        <v>56</v>
      </c>
      <c r="E446" s="117">
        <f>HIDROSANITÁRIO!C6</f>
        <v>1</v>
      </c>
      <c r="F446" s="201">
        <v>24.04</v>
      </c>
      <c r="G446" s="201">
        <f t="shared" ref="G446" si="162">F446*(1+$E$2)</f>
        <v>30.465892</v>
      </c>
      <c r="H446" s="201">
        <f t="shared" si="160"/>
        <v>30.46</v>
      </c>
    </row>
    <row r="447" spans="1:8" s="71" customFormat="1" ht="31.5" outlineLevel="2" x14ac:dyDescent="0.25">
      <c r="A447" s="68" t="s">
        <v>2381</v>
      </c>
      <c r="B447" s="68" t="s">
        <v>2080</v>
      </c>
      <c r="C447" s="69" t="s">
        <v>2783</v>
      </c>
      <c r="D447" s="117" t="s">
        <v>56</v>
      </c>
      <c r="E447" s="117">
        <f>HIDROSANITÁRIO!C7</f>
        <v>2</v>
      </c>
      <c r="F447" s="201">
        <v>77.67</v>
      </c>
      <c r="G447" s="201">
        <f t="shared" ref="G447" si="163">F447*(1+$E$2)</f>
        <v>98.431191000000013</v>
      </c>
      <c r="H447" s="201">
        <f t="shared" si="160"/>
        <v>196.86</v>
      </c>
    </row>
    <row r="448" spans="1:8" s="71" customFormat="1" ht="31.5" outlineLevel="2" x14ac:dyDescent="0.25">
      <c r="A448" s="68" t="s">
        <v>2382</v>
      </c>
      <c r="B448" s="226" t="s">
        <v>2550</v>
      </c>
      <c r="C448" s="69" t="s">
        <v>2551</v>
      </c>
      <c r="D448" s="117" t="s">
        <v>56</v>
      </c>
      <c r="E448" s="117">
        <f>HIDROSANITÁRIO!C8</f>
        <v>1</v>
      </c>
      <c r="F448" s="201">
        <v>80.180000000000007</v>
      </c>
      <c r="G448" s="201">
        <f t="shared" ref="G448" si="164">F448*(1+$E$2)</f>
        <v>101.61211400000002</v>
      </c>
      <c r="H448" s="201">
        <f t="shared" si="160"/>
        <v>101.61</v>
      </c>
    </row>
    <row r="449" spans="1:8" s="71" customFormat="1" ht="47.25" outlineLevel="2" x14ac:dyDescent="0.25">
      <c r="A449" s="68" t="s">
        <v>3353</v>
      </c>
      <c r="B449" s="68">
        <v>89443</v>
      </c>
      <c r="C449" s="69" t="s">
        <v>3057</v>
      </c>
      <c r="D449" s="117" t="s">
        <v>56</v>
      </c>
      <c r="E449" s="117">
        <f>HIDROSANITÁRIO!C10</f>
        <v>1</v>
      </c>
      <c r="F449" s="201">
        <v>9</v>
      </c>
      <c r="G449" s="201">
        <f>F449*(1+$E$2)</f>
        <v>11.405700000000001</v>
      </c>
      <c r="H449" s="201">
        <f t="shared" si="160"/>
        <v>11.4</v>
      </c>
    </row>
    <row r="450" spans="1:8" s="71" customFormat="1" ht="31.5" outlineLevel="2" x14ac:dyDescent="0.25">
      <c r="A450" s="68" t="s">
        <v>2383</v>
      </c>
      <c r="B450" s="68">
        <v>89623</v>
      </c>
      <c r="C450" s="69" t="s">
        <v>3058</v>
      </c>
      <c r="D450" s="117" t="s">
        <v>56</v>
      </c>
      <c r="E450" s="117">
        <f>HIDROSANITÁRIO!C11</f>
        <v>1</v>
      </c>
      <c r="F450" s="201">
        <v>13.48</v>
      </c>
      <c r="G450" s="201">
        <f t="shared" ref="G450" si="165">F450*(1+$E$2)</f>
        <v>17.083204000000002</v>
      </c>
      <c r="H450" s="201">
        <f t="shared" si="160"/>
        <v>17.079999999999998</v>
      </c>
    </row>
    <row r="451" spans="1:8" s="71" customFormat="1" ht="47.25" outlineLevel="2" x14ac:dyDescent="0.25">
      <c r="A451" s="68" t="s">
        <v>2384</v>
      </c>
      <c r="B451" s="68" t="s">
        <v>2785</v>
      </c>
      <c r="C451" s="69" t="s">
        <v>3054</v>
      </c>
      <c r="D451" s="117" t="s">
        <v>56</v>
      </c>
      <c r="E451" s="117">
        <f>HIDROSANITÁRIO!C12</f>
        <v>9</v>
      </c>
      <c r="F451" s="201">
        <v>6.01</v>
      </c>
      <c r="G451" s="201">
        <f t="shared" ref="G451" si="166">F451*(1+$E$2)</f>
        <v>7.616473</v>
      </c>
      <c r="H451" s="201">
        <f t="shared" si="160"/>
        <v>68.540000000000006</v>
      </c>
    </row>
    <row r="452" spans="1:8" s="71" customFormat="1" ht="53.25" customHeight="1" outlineLevel="2" x14ac:dyDescent="0.25">
      <c r="A452" s="68" t="s">
        <v>2385</v>
      </c>
      <c r="B452" s="68">
        <v>89572</v>
      </c>
      <c r="C452" s="69" t="s">
        <v>646</v>
      </c>
      <c r="D452" s="117" t="s">
        <v>56</v>
      </c>
      <c r="E452" s="117">
        <f>HIDROSANITÁRIO!C13</f>
        <v>9</v>
      </c>
      <c r="F452" s="201">
        <v>6.36</v>
      </c>
      <c r="G452" s="201">
        <f t="shared" si="159"/>
        <v>8.0600280000000009</v>
      </c>
      <c r="H452" s="201">
        <f t="shared" si="160"/>
        <v>72.540000000000006</v>
      </c>
    </row>
    <row r="453" spans="1:8" s="71" customFormat="1" ht="45" customHeight="1" outlineLevel="2" x14ac:dyDescent="0.25">
      <c r="A453" s="68" t="s">
        <v>3065</v>
      </c>
      <c r="B453" s="68">
        <v>89497</v>
      </c>
      <c r="C453" s="69" t="s">
        <v>3056</v>
      </c>
      <c r="D453" s="117" t="s">
        <v>56</v>
      </c>
      <c r="E453" s="117">
        <f>HIDROSANITÁRIO!C14</f>
        <v>3</v>
      </c>
      <c r="F453" s="201">
        <v>8.66</v>
      </c>
      <c r="G453" s="201">
        <f t="shared" ref="G453" si="167">F453*(1+$E$2)</f>
        <v>10.974818000000001</v>
      </c>
      <c r="H453" s="201">
        <f t="shared" si="160"/>
        <v>32.92</v>
      </c>
    </row>
    <row r="454" spans="1:8" s="71" customFormat="1" ht="45" customHeight="1" outlineLevel="2" x14ac:dyDescent="0.25">
      <c r="A454" s="68" t="s">
        <v>2386</v>
      </c>
      <c r="B454" s="68" t="s">
        <v>2787</v>
      </c>
      <c r="C454" s="69" t="s">
        <v>2091</v>
      </c>
      <c r="D454" s="117" t="s">
        <v>56</v>
      </c>
      <c r="E454" s="117">
        <f>HIDROSANITÁRIO!C15</f>
        <v>16</v>
      </c>
      <c r="F454" s="201">
        <v>8.5299999999999994</v>
      </c>
      <c r="G454" s="201">
        <f t="shared" si="159"/>
        <v>10.810069</v>
      </c>
      <c r="H454" s="201">
        <f t="shared" si="160"/>
        <v>172.96</v>
      </c>
    </row>
    <row r="455" spans="1:8" s="71" customFormat="1" ht="45.75" customHeight="1" outlineLevel="2" x14ac:dyDescent="0.25">
      <c r="A455" s="68" t="s">
        <v>2387</v>
      </c>
      <c r="B455" s="68">
        <v>89448</v>
      </c>
      <c r="C455" s="69" t="s">
        <v>3055</v>
      </c>
      <c r="D455" s="117" t="s">
        <v>99</v>
      </c>
      <c r="E455" s="117">
        <f>HIDROSANITÁRIO!C16</f>
        <v>3.54</v>
      </c>
      <c r="F455" s="201">
        <v>10.68</v>
      </c>
      <c r="G455" s="201">
        <f t="shared" si="159"/>
        <v>13.534764000000001</v>
      </c>
      <c r="H455" s="201">
        <f t="shared" si="160"/>
        <v>47.91</v>
      </c>
    </row>
    <row r="456" spans="1:8" s="278" customFormat="1" ht="45.75" customHeight="1" outlineLevel="2" x14ac:dyDescent="0.25">
      <c r="A456" s="68" t="s">
        <v>2388</v>
      </c>
      <c r="B456" s="226" t="s">
        <v>2789</v>
      </c>
      <c r="C456" s="246" t="s">
        <v>2695</v>
      </c>
      <c r="D456" s="165" t="s">
        <v>99</v>
      </c>
      <c r="E456" s="117">
        <f>HIDROSANITÁRIO!C17</f>
        <v>158.13</v>
      </c>
      <c r="F456" s="201">
        <v>11.1</v>
      </c>
      <c r="G456" s="221">
        <f t="shared" ref="G456" si="168">F456*(1+$E$2)</f>
        <v>14.067030000000001</v>
      </c>
      <c r="H456" s="201">
        <f t="shared" si="160"/>
        <v>2224.41</v>
      </c>
    </row>
    <row r="457" spans="1:8" s="71" customFormat="1" ht="63" outlineLevel="2" x14ac:dyDescent="0.25">
      <c r="A457" s="68" t="s">
        <v>2389</v>
      </c>
      <c r="B457" s="68" t="s">
        <v>2790</v>
      </c>
      <c r="C457" s="69" t="s">
        <v>672</v>
      </c>
      <c r="D457" s="117" t="s">
        <v>56</v>
      </c>
      <c r="E457" s="117">
        <f>HIDROSANITÁRIO!C18</f>
        <v>1</v>
      </c>
      <c r="F457" s="201">
        <v>17.13</v>
      </c>
      <c r="G457" s="201">
        <f t="shared" si="159"/>
        <v>21.708849000000001</v>
      </c>
      <c r="H457" s="201">
        <f t="shared" si="160"/>
        <v>21.7</v>
      </c>
    </row>
    <row r="458" spans="1:8" s="71" customFormat="1" outlineLevel="1" x14ac:dyDescent="0.25">
      <c r="A458" s="79"/>
      <c r="B458" s="79"/>
      <c r="C458" s="119" t="s">
        <v>14</v>
      </c>
      <c r="D458" s="79"/>
      <c r="E458" s="81"/>
      <c r="F458" s="203"/>
      <c r="G458" s="218"/>
      <c r="H458" s="218">
        <f>SUM(H444:H457)</f>
        <v>3431.8599999999997</v>
      </c>
    </row>
    <row r="459" spans="1:8" s="71" customFormat="1" outlineLevel="1" x14ac:dyDescent="0.25">
      <c r="A459" s="170" t="s">
        <v>392</v>
      </c>
      <c r="B459" s="78"/>
      <c r="C459" s="177" t="s">
        <v>329</v>
      </c>
      <c r="D459" s="78"/>
      <c r="E459" s="70"/>
      <c r="F459" s="201"/>
      <c r="G459" s="201"/>
      <c r="H459" s="201"/>
    </row>
    <row r="460" spans="1:8" s="71" customFormat="1" ht="63" outlineLevel="2" x14ac:dyDescent="0.25">
      <c r="A460" s="68" t="s">
        <v>393</v>
      </c>
      <c r="B460" s="68" t="s">
        <v>2791</v>
      </c>
      <c r="C460" s="69" t="s">
        <v>648</v>
      </c>
      <c r="D460" s="117" t="s">
        <v>56</v>
      </c>
      <c r="E460" s="117">
        <f>HIDROSANITÁRIO!C23</f>
        <v>3</v>
      </c>
      <c r="F460" s="201">
        <v>180.37</v>
      </c>
      <c r="G460" s="201">
        <f>F460*(1+$E$2)</f>
        <v>228.58290100000002</v>
      </c>
      <c r="H460" s="201">
        <f>TRUNC((G460*E460),2)</f>
        <v>685.74</v>
      </c>
    </row>
    <row r="461" spans="1:8" s="71" customFormat="1" ht="63" outlineLevel="2" x14ac:dyDescent="0.25">
      <c r="A461" s="68" t="s">
        <v>394</v>
      </c>
      <c r="B461" s="68" t="s">
        <v>2792</v>
      </c>
      <c r="C461" s="69" t="s">
        <v>649</v>
      </c>
      <c r="D461" s="117" t="s">
        <v>56</v>
      </c>
      <c r="E461" s="117">
        <f>HIDROSANITÁRIO!C24</f>
        <v>2</v>
      </c>
      <c r="F461" s="201">
        <v>312.26</v>
      </c>
      <c r="G461" s="201">
        <f>F461*(1+$E$2)</f>
        <v>395.72709800000001</v>
      </c>
      <c r="H461" s="201">
        <f t="shared" ref="H461:H511" si="169">TRUNC((G461*E461),2)</f>
        <v>791.45</v>
      </c>
    </row>
    <row r="462" spans="1:8" s="71" customFormat="1" ht="63" outlineLevel="2" x14ac:dyDescent="0.25">
      <c r="A462" s="68" t="s">
        <v>395</v>
      </c>
      <c r="B462" s="68" t="s">
        <v>2793</v>
      </c>
      <c r="C462" s="69" t="s">
        <v>647</v>
      </c>
      <c r="D462" s="117" t="s">
        <v>56</v>
      </c>
      <c r="E462" s="117">
        <f>HIDROSANITÁRIO!C25</f>
        <v>5</v>
      </c>
      <c r="F462" s="201">
        <v>100.61</v>
      </c>
      <c r="G462" s="201">
        <f>F462*(1+$E$2)</f>
        <v>127.50305300000001</v>
      </c>
      <c r="H462" s="201">
        <f t="shared" si="169"/>
        <v>637.51</v>
      </c>
    </row>
    <row r="463" spans="1:8" s="71" customFormat="1" ht="47.25" outlineLevel="2" x14ac:dyDescent="0.25">
      <c r="A463" s="68" t="s">
        <v>396</v>
      </c>
      <c r="B463" s="68" t="s">
        <v>2794</v>
      </c>
      <c r="C463" s="69" t="s">
        <v>650</v>
      </c>
      <c r="D463" s="117" t="s">
        <v>56</v>
      </c>
      <c r="E463" s="117">
        <f>HIDROSANITÁRIO!C26</f>
        <v>23</v>
      </c>
      <c r="F463" s="201">
        <v>56.54</v>
      </c>
      <c r="G463" s="201">
        <f t="shared" ref="G463:G510" si="170">F463*(1+$E$2)</f>
        <v>71.653142000000003</v>
      </c>
      <c r="H463" s="201">
        <f t="shared" si="169"/>
        <v>1648.02</v>
      </c>
    </row>
    <row r="464" spans="1:8" s="71" customFormat="1" ht="63" outlineLevel="2" x14ac:dyDescent="0.25">
      <c r="A464" s="68" t="s">
        <v>397</v>
      </c>
      <c r="B464" s="68" t="s">
        <v>2795</v>
      </c>
      <c r="C464" s="69" t="s">
        <v>2106</v>
      </c>
      <c r="D464" s="117" t="s">
        <v>56</v>
      </c>
      <c r="E464" s="117">
        <f>HIDROSANITÁRIO!C27</f>
        <v>16</v>
      </c>
      <c r="F464" s="201">
        <v>78.540000000000006</v>
      </c>
      <c r="G464" s="201">
        <f t="shared" ref="G464" si="171">F464*(1+$E$2)</f>
        <v>99.533742000000018</v>
      </c>
      <c r="H464" s="201">
        <f t="shared" si="169"/>
        <v>1592.53</v>
      </c>
    </row>
    <row r="465" spans="1:8" s="71" customFormat="1" ht="47.25" outlineLevel="2" x14ac:dyDescent="0.25">
      <c r="A465" s="68" t="s">
        <v>1073</v>
      </c>
      <c r="B465" s="68" t="s">
        <v>2796</v>
      </c>
      <c r="C465" s="69" t="s">
        <v>2797</v>
      </c>
      <c r="D465" s="117" t="s">
        <v>56</v>
      </c>
      <c r="E465" s="117">
        <f>HIDROSANITÁRIO!C28</f>
        <v>10</v>
      </c>
      <c r="F465" s="201">
        <v>8.99</v>
      </c>
      <c r="G465" s="201">
        <f t="shared" si="170"/>
        <v>11.393027000000002</v>
      </c>
      <c r="H465" s="201">
        <f t="shared" si="169"/>
        <v>113.93</v>
      </c>
    </row>
    <row r="466" spans="1:8" s="71" customFormat="1" ht="47.25" outlineLevel="2" x14ac:dyDescent="0.25">
      <c r="A466" s="68" t="s">
        <v>398</v>
      </c>
      <c r="B466" s="68" t="s">
        <v>2798</v>
      </c>
      <c r="C466" s="69" t="s">
        <v>2107</v>
      </c>
      <c r="D466" s="117" t="s">
        <v>56</v>
      </c>
      <c r="E466" s="117">
        <f>HIDROSANITÁRIO!C29</f>
        <v>3</v>
      </c>
      <c r="F466" s="201">
        <v>6.99</v>
      </c>
      <c r="G466" s="201">
        <f t="shared" ref="G466" si="172">F466*(1+$E$2)</f>
        <v>8.8584270000000007</v>
      </c>
      <c r="H466" s="201">
        <f t="shared" si="169"/>
        <v>26.57</v>
      </c>
    </row>
    <row r="467" spans="1:8" s="71" customFormat="1" ht="78.75" outlineLevel="2" x14ac:dyDescent="0.25">
      <c r="A467" s="68" t="s">
        <v>399</v>
      </c>
      <c r="B467" s="68" t="s">
        <v>2799</v>
      </c>
      <c r="C467" s="69" t="s">
        <v>2800</v>
      </c>
      <c r="D467" s="117" t="s">
        <v>56</v>
      </c>
      <c r="E467" s="117">
        <f>HIDROSANITÁRIO!C30</f>
        <v>2</v>
      </c>
      <c r="F467" s="201">
        <v>285.72000000000003</v>
      </c>
      <c r="G467" s="201">
        <f t="shared" si="170"/>
        <v>362.09295600000007</v>
      </c>
      <c r="H467" s="201">
        <f t="shared" si="169"/>
        <v>724.18</v>
      </c>
    </row>
    <row r="468" spans="1:8" s="71" customFormat="1" ht="63" outlineLevel="2" x14ac:dyDescent="0.25">
      <c r="A468" s="68" t="s">
        <v>1539</v>
      </c>
      <c r="B468" s="68" t="s">
        <v>2801</v>
      </c>
      <c r="C468" s="69" t="s">
        <v>2108</v>
      </c>
      <c r="D468" s="117" t="s">
        <v>56</v>
      </c>
      <c r="E468" s="117">
        <f>HIDROSANITÁRIO!C31</f>
        <v>3</v>
      </c>
      <c r="F468" s="201">
        <v>4.03</v>
      </c>
      <c r="G468" s="201">
        <f t="shared" ref="G468" si="173">F468*(1+$E$2)</f>
        <v>5.1072190000000006</v>
      </c>
      <c r="H468" s="201">
        <f t="shared" si="169"/>
        <v>15.32</v>
      </c>
    </row>
    <row r="469" spans="1:8" s="71" customFormat="1" ht="63" outlineLevel="2" x14ac:dyDescent="0.25">
      <c r="A469" s="68" t="s">
        <v>2235</v>
      </c>
      <c r="B469" s="68" t="s">
        <v>2784</v>
      </c>
      <c r="C469" s="69" t="s">
        <v>652</v>
      </c>
      <c r="D469" s="117" t="s">
        <v>56</v>
      </c>
      <c r="E469" s="117">
        <f>HIDROSANITÁRIO!C32</f>
        <v>40</v>
      </c>
      <c r="F469" s="201">
        <v>4.7</v>
      </c>
      <c r="G469" s="201">
        <f t="shared" si="170"/>
        <v>5.9563100000000011</v>
      </c>
      <c r="H469" s="201">
        <f t="shared" si="169"/>
        <v>238.25</v>
      </c>
    </row>
    <row r="470" spans="1:8" s="71" customFormat="1" ht="47.25" outlineLevel="2" x14ac:dyDescent="0.25">
      <c r="A470" s="68" t="s">
        <v>2236</v>
      </c>
      <c r="B470" s="68">
        <v>90373</v>
      </c>
      <c r="C470" s="69" t="s">
        <v>651</v>
      </c>
      <c r="D470" s="117" t="s">
        <v>56</v>
      </c>
      <c r="E470" s="117">
        <f>HIDROSANITÁRIO!C33</f>
        <v>4</v>
      </c>
      <c r="F470" s="201">
        <v>11.17</v>
      </c>
      <c r="G470" s="201">
        <f t="shared" si="170"/>
        <v>14.155741000000001</v>
      </c>
      <c r="H470" s="201">
        <f t="shared" si="169"/>
        <v>56.62</v>
      </c>
    </row>
    <row r="471" spans="1:8" s="71" customFormat="1" ht="47.25" outlineLevel="2" x14ac:dyDescent="0.25">
      <c r="A471" s="68" t="s">
        <v>2237</v>
      </c>
      <c r="B471" s="68" t="s">
        <v>2802</v>
      </c>
      <c r="C471" s="69" t="s">
        <v>653</v>
      </c>
      <c r="D471" s="117" t="s">
        <v>56</v>
      </c>
      <c r="E471" s="117">
        <f>HIDROSANITÁRIO!C34</f>
        <v>42</v>
      </c>
      <c r="F471" s="201">
        <v>7.7</v>
      </c>
      <c r="G471" s="201">
        <f t="shared" si="170"/>
        <v>9.7582100000000018</v>
      </c>
      <c r="H471" s="201">
        <f t="shared" si="169"/>
        <v>409.84</v>
      </c>
    </row>
    <row r="472" spans="1:8" s="71" customFormat="1" ht="47.25" outlineLevel="2" x14ac:dyDescent="0.25">
      <c r="A472" s="68" t="s">
        <v>2238</v>
      </c>
      <c r="B472" s="68" t="s">
        <v>2803</v>
      </c>
      <c r="C472" s="69" t="s">
        <v>654</v>
      </c>
      <c r="D472" s="117" t="s">
        <v>56</v>
      </c>
      <c r="E472" s="117">
        <f>HIDROSANITÁRIO!C35</f>
        <v>10</v>
      </c>
      <c r="F472" s="201">
        <v>14.48</v>
      </c>
      <c r="G472" s="201">
        <f t="shared" si="170"/>
        <v>18.350504000000001</v>
      </c>
      <c r="H472" s="201">
        <f t="shared" si="169"/>
        <v>183.5</v>
      </c>
    </row>
    <row r="473" spans="1:8" s="71" customFormat="1" ht="47.25" outlineLevel="2" x14ac:dyDescent="0.25">
      <c r="A473" s="68" t="s">
        <v>2239</v>
      </c>
      <c r="B473" s="68" t="s">
        <v>2804</v>
      </c>
      <c r="C473" s="69" t="s">
        <v>655</v>
      </c>
      <c r="D473" s="117" t="s">
        <v>56</v>
      </c>
      <c r="E473" s="117">
        <f>HIDROSANITÁRIO!C36</f>
        <v>6</v>
      </c>
      <c r="F473" s="201">
        <v>23.56</v>
      </c>
      <c r="G473" s="201">
        <f t="shared" si="170"/>
        <v>29.857588</v>
      </c>
      <c r="H473" s="201">
        <f t="shared" si="169"/>
        <v>179.14</v>
      </c>
    </row>
    <row r="474" spans="1:8" s="71" customFormat="1" ht="47.25" outlineLevel="2" x14ac:dyDescent="0.25">
      <c r="A474" s="68" t="s">
        <v>2240</v>
      </c>
      <c r="B474" s="68" t="s">
        <v>2805</v>
      </c>
      <c r="C474" s="69" t="s">
        <v>656</v>
      </c>
      <c r="D474" s="117" t="s">
        <v>56</v>
      </c>
      <c r="E474" s="117">
        <f>HIDROSANITÁRIO!C37</f>
        <v>4</v>
      </c>
      <c r="F474" s="201">
        <v>32.840000000000003</v>
      </c>
      <c r="G474" s="201">
        <f t="shared" si="170"/>
        <v>41.61813200000001</v>
      </c>
      <c r="H474" s="201">
        <f t="shared" si="169"/>
        <v>166.47</v>
      </c>
    </row>
    <row r="475" spans="1:8" s="71" customFormat="1" ht="31.5" outlineLevel="2" x14ac:dyDescent="0.25">
      <c r="A475" s="68" t="s">
        <v>2390</v>
      </c>
      <c r="B475" s="68" t="s">
        <v>845</v>
      </c>
      <c r="C475" s="69" t="s">
        <v>846</v>
      </c>
      <c r="D475" s="117" t="s">
        <v>56</v>
      </c>
      <c r="E475" s="117">
        <f>HIDROSANITÁRIO!C38</f>
        <v>19</v>
      </c>
      <c r="F475" s="201">
        <v>11.36</v>
      </c>
      <c r="G475" s="201">
        <f t="shared" si="170"/>
        <v>14.396528</v>
      </c>
      <c r="H475" s="201">
        <f t="shared" si="169"/>
        <v>273.52999999999997</v>
      </c>
    </row>
    <row r="476" spans="1:8" s="71" customFormat="1" ht="31.5" outlineLevel="2" x14ac:dyDescent="0.25">
      <c r="A476" s="68" t="s">
        <v>2391</v>
      </c>
      <c r="B476" s="68" t="s">
        <v>847</v>
      </c>
      <c r="C476" s="69" t="s">
        <v>848</v>
      </c>
      <c r="D476" s="117" t="s">
        <v>56</v>
      </c>
      <c r="E476" s="117">
        <f>HIDROSANITÁRIO!C39</f>
        <v>1</v>
      </c>
      <c r="F476" s="201">
        <v>20.91</v>
      </c>
      <c r="G476" s="201">
        <f t="shared" si="170"/>
        <v>26.499243000000003</v>
      </c>
      <c r="H476" s="201">
        <f t="shared" si="169"/>
        <v>26.49</v>
      </c>
    </row>
    <row r="477" spans="1:8" s="71" customFormat="1" outlineLevel="2" x14ac:dyDescent="0.25">
      <c r="A477" s="68" t="s">
        <v>2392</v>
      </c>
      <c r="B477" s="68" t="s">
        <v>2100</v>
      </c>
      <c r="C477" s="69" t="s">
        <v>2099</v>
      </c>
      <c r="D477" s="117" t="s">
        <v>56</v>
      </c>
      <c r="E477" s="117">
        <f>HIDROSANITÁRIO!C40</f>
        <v>2</v>
      </c>
      <c r="F477" s="201">
        <v>2.89</v>
      </c>
      <c r="G477" s="201">
        <f>F477*(1+$E$2)</f>
        <v>3.6624970000000006</v>
      </c>
      <c r="H477" s="201">
        <f t="shared" si="169"/>
        <v>7.32</v>
      </c>
    </row>
    <row r="478" spans="1:8" s="71" customFormat="1" ht="31.5" outlineLevel="2" x14ac:dyDescent="0.25">
      <c r="A478" s="68" t="s">
        <v>2393</v>
      </c>
      <c r="B478" s="68" t="s">
        <v>2806</v>
      </c>
      <c r="C478" s="246" t="s">
        <v>2807</v>
      </c>
      <c r="D478" s="117" t="s">
        <v>56</v>
      </c>
      <c r="E478" s="117">
        <f>HIDROSANITÁRIO!C41</f>
        <v>22</v>
      </c>
      <c r="F478" s="201">
        <v>13.22</v>
      </c>
      <c r="G478" s="201">
        <f t="shared" si="170"/>
        <v>16.753706000000001</v>
      </c>
      <c r="H478" s="201">
        <f t="shared" si="169"/>
        <v>368.58</v>
      </c>
    </row>
    <row r="479" spans="1:8" s="71" customFormat="1" ht="31.5" outlineLevel="2" x14ac:dyDescent="0.25">
      <c r="A479" s="68" t="s">
        <v>2394</v>
      </c>
      <c r="B479" s="68" t="s">
        <v>2808</v>
      </c>
      <c r="C479" s="246" t="s">
        <v>2809</v>
      </c>
      <c r="D479" s="117" t="s">
        <v>56</v>
      </c>
      <c r="E479" s="117">
        <f>HIDROSANITÁRIO!C42</f>
        <v>8</v>
      </c>
      <c r="F479" s="201">
        <v>17.47</v>
      </c>
      <c r="G479" s="201">
        <f t="shared" si="170"/>
        <v>22.139731000000001</v>
      </c>
      <c r="H479" s="201">
        <f t="shared" si="169"/>
        <v>177.11</v>
      </c>
    </row>
    <row r="480" spans="1:8" s="71" customFormat="1" ht="47.25" outlineLevel="2" x14ac:dyDescent="0.25">
      <c r="A480" s="68" t="s">
        <v>2395</v>
      </c>
      <c r="B480" s="68" t="s">
        <v>2113</v>
      </c>
      <c r="C480" s="246" t="s">
        <v>2114</v>
      </c>
      <c r="D480" s="117" t="s">
        <v>56</v>
      </c>
      <c r="E480" s="117">
        <f>HIDROSANITÁRIO!C43</f>
        <v>6</v>
      </c>
      <c r="F480" s="201">
        <v>25.57</v>
      </c>
      <c r="G480" s="201">
        <f t="shared" si="170"/>
        <v>32.404861000000004</v>
      </c>
      <c r="H480" s="201">
        <f t="shared" si="169"/>
        <v>194.42</v>
      </c>
    </row>
    <row r="481" spans="1:11" s="71" customFormat="1" ht="31.5" outlineLevel="2" x14ac:dyDescent="0.25">
      <c r="A481" s="68" t="s">
        <v>2396</v>
      </c>
      <c r="B481" s="68" t="s">
        <v>849</v>
      </c>
      <c r="C481" s="246" t="s">
        <v>2810</v>
      </c>
      <c r="D481" s="117" t="s">
        <v>56</v>
      </c>
      <c r="E481" s="117">
        <f>HIDROSANITÁRIO!C44</f>
        <v>3</v>
      </c>
      <c r="F481" s="201">
        <v>30.89</v>
      </c>
      <c r="G481" s="201">
        <f t="shared" si="170"/>
        <v>39.146897000000003</v>
      </c>
      <c r="H481" s="201">
        <f t="shared" si="169"/>
        <v>117.44</v>
      </c>
    </row>
    <row r="482" spans="1:11" s="71" customFormat="1" outlineLevel="2" x14ac:dyDescent="0.25">
      <c r="A482" s="68" t="s">
        <v>2397</v>
      </c>
      <c r="B482" s="68" t="s">
        <v>2100</v>
      </c>
      <c r="C482" s="69" t="s">
        <v>2099</v>
      </c>
      <c r="D482" s="117" t="s">
        <v>56</v>
      </c>
      <c r="E482" s="117">
        <f>HIDROSANITÁRIO!C45</f>
        <v>2</v>
      </c>
      <c r="F482" s="201">
        <v>2.87</v>
      </c>
      <c r="G482" s="201">
        <f t="shared" si="170"/>
        <v>3.6371510000000002</v>
      </c>
      <c r="H482" s="201">
        <f t="shared" si="169"/>
        <v>7.27</v>
      </c>
    </row>
    <row r="483" spans="1:11" s="71" customFormat="1" ht="47.25" outlineLevel="2" x14ac:dyDescent="0.25">
      <c r="A483" s="68" t="s">
        <v>2398</v>
      </c>
      <c r="B483" s="68" t="s">
        <v>3060</v>
      </c>
      <c r="C483" s="69" t="s">
        <v>3059</v>
      </c>
      <c r="D483" s="117" t="s">
        <v>56</v>
      </c>
      <c r="E483" s="117">
        <f>HIDROSANITÁRIO!C46</f>
        <v>1</v>
      </c>
      <c r="F483" s="201">
        <v>8.34</v>
      </c>
      <c r="G483" s="201">
        <f t="shared" si="170"/>
        <v>10.569282000000001</v>
      </c>
      <c r="H483" s="201">
        <f t="shared" si="169"/>
        <v>10.56</v>
      </c>
    </row>
    <row r="484" spans="1:11" s="71" customFormat="1" ht="47.25" outlineLevel="2" x14ac:dyDescent="0.25">
      <c r="A484" s="68" t="s">
        <v>2399</v>
      </c>
      <c r="B484" s="68" t="s">
        <v>2786</v>
      </c>
      <c r="C484" s="69" t="s">
        <v>657</v>
      </c>
      <c r="D484" s="117" t="s">
        <v>56</v>
      </c>
      <c r="E484" s="117">
        <f>HIDROSANITÁRIO!C47</f>
        <v>44</v>
      </c>
      <c r="F484" s="201">
        <v>3.26</v>
      </c>
      <c r="G484" s="201">
        <f t="shared" si="170"/>
        <v>4.1313979999999999</v>
      </c>
      <c r="H484" s="201">
        <f t="shared" si="169"/>
        <v>181.78</v>
      </c>
    </row>
    <row r="485" spans="1:11" s="71" customFormat="1" ht="47.25" outlineLevel="2" x14ac:dyDescent="0.25">
      <c r="A485" s="68" t="s">
        <v>2400</v>
      </c>
      <c r="B485" s="68" t="s">
        <v>2811</v>
      </c>
      <c r="C485" s="69" t="s">
        <v>658</v>
      </c>
      <c r="D485" s="117" t="s">
        <v>56</v>
      </c>
      <c r="E485" s="117">
        <f>HIDROSANITÁRIO!C48</f>
        <v>31</v>
      </c>
      <c r="F485" s="201">
        <v>10.37</v>
      </c>
      <c r="G485" s="201">
        <f t="shared" si="170"/>
        <v>13.141901000000001</v>
      </c>
      <c r="H485" s="201">
        <f t="shared" si="169"/>
        <v>407.39</v>
      </c>
    </row>
    <row r="486" spans="1:11" s="71" customFormat="1" ht="47.25" outlineLevel="2" x14ac:dyDescent="0.25">
      <c r="A486" s="68" t="s">
        <v>2401</v>
      </c>
      <c r="B486" s="68" t="s">
        <v>2812</v>
      </c>
      <c r="C486" s="69" t="s">
        <v>659</v>
      </c>
      <c r="D486" s="117" t="s">
        <v>56</v>
      </c>
      <c r="E486" s="117">
        <f>HIDROSANITÁRIO!C49</f>
        <v>15</v>
      </c>
      <c r="F486" s="201">
        <v>30.4</v>
      </c>
      <c r="G486" s="201">
        <f t="shared" si="170"/>
        <v>38.525919999999999</v>
      </c>
      <c r="H486" s="201">
        <f t="shared" si="169"/>
        <v>577.88</v>
      </c>
    </row>
    <row r="487" spans="1:11" s="71" customFormat="1" ht="47.25" outlineLevel="2" x14ac:dyDescent="0.25">
      <c r="A487" s="68" t="s">
        <v>2402</v>
      </c>
      <c r="B487" s="68" t="s">
        <v>2813</v>
      </c>
      <c r="C487" s="69" t="s">
        <v>660</v>
      </c>
      <c r="D487" s="117" t="s">
        <v>56</v>
      </c>
      <c r="E487" s="117">
        <f>HIDROSANITÁRIO!C50</f>
        <v>10</v>
      </c>
      <c r="F487" s="201">
        <v>85.05</v>
      </c>
      <c r="G487" s="201">
        <f t="shared" si="170"/>
        <v>107.78386500000001</v>
      </c>
      <c r="H487" s="201">
        <f t="shared" si="169"/>
        <v>1077.83</v>
      </c>
    </row>
    <row r="488" spans="1:11" s="71" customFormat="1" ht="47.25" outlineLevel="2" x14ac:dyDescent="0.25">
      <c r="A488" s="68" t="s">
        <v>2403</v>
      </c>
      <c r="B488" s="68" t="s">
        <v>2814</v>
      </c>
      <c r="C488" s="69" t="s">
        <v>661</v>
      </c>
      <c r="D488" s="117" t="s">
        <v>56</v>
      </c>
      <c r="E488" s="117">
        <f>HIDROSANITÁRIO!C51</f>
        <v>12</v>
      </c>
      <c r="F488" s="201">
        <v>96</v>
      </c>
      <c r="G488" s="201">
        <f t="shared" si="170"/>
        <v>121.66080000000001</v>
      </c>
      <c r="H488" s="201">
        <f t="shared" si="169"/>
        <v>1459.92</v>
      </c>
      <c r="K488" s="118"/>
    </row>
    <row r="489" spans="1:11" s="71" customFormat="1" ht="47.25" outlineLevel="2" x14ac:dyDescent="0.25">
      <c r="A489" s="68" t="s">
        <v>2404</v>
      </c>
      <c r="B489" s="68" t="s">
        <v>2815</v>
      </c>
      <c r="C489" s="69" t="s">
        <v>2816</v>
      </c>
      <c r="D489" s="117" t="s">
        <v>99</v>
      </c>
      <c r="E489" s="117">
        <f>HIDROSANITÁRIO!C52</f>
        <v>1.1499999999999999</v>
      </c>
      <c r="F489" s="201">
        <v>5.49</v>
      </c>
      <c r="G489" s="201">
        <f t="shared" ref="G489" si="174">F489*(1+$E$2)</f>
        <v>6.9574770000000008</v>
      </c>
      <c r="H489" s="201">
        <f t="shared" si="169"/>
        <v>8</v>
      </c>
    </row>
    <row r="490" spans="1:11" s="71" customFormat="1" ht="47.25" outlineLevel="2" x14ac:dyDescent="0.25">
      <c r="A490" s="68" t="s">
        <v>2405</v>
      </c>
      <c r="B490" s="68" t="s">
        <v>2788</v>
      </c>
      <c r="C490" s="69" t="s">
        <v>706</v>
      </c>
      <c r="D490" s="117" t="s">
        <v>99</v>
      </c>
      <c r="E490" s="117">
        <f>HIDROSANITÁRIO!C53</f>
        <v>98.51</v>
      </c>
      <c r="F490" s="201">
        <v>6.8</v>
      </c>
      <c r="G490" s="201">
        <f t="shared" si="170"/>
        <v>8.6176399999999997</v>
      </c>
      <c r="H490" s="201">
        <f t="shared" si="169"/>
        <v>848.92</v>
      </c>
    </row>
    <row r="491" spans="1:11" s="71" customFormat="1" ht="47.25" outlineLevel="2" x14ac:dyDescent="0.25">
      <c r="A491" s="68" t="s">
        <v>2406</v>
      </c>
      <c r="B491" s="68">
        <v>90373</v>
      </c>
      <c r="C491" s="69" t="s">
        <v>651</v>
      </c>
      <c r="D491" s="117" t="s">
        <v>56</v>
      </c>
      <c r="E491" s="117">
        <f>HIDROSANITÁRIO!C54</f>
        <v>4</v>
      </c>
      <c r="F491" s="201">
        <v>11.17</v>
      </c>
      <c r="G491" s="201">
        <f t="shared" si="170"/>
        <v>14.155741000000001</v>
      </c>
      <c r="H491" s="201">
        <f t="shared" si="169"/>
        <v>56.62</v>
      </c>
    </row>
    <row r="492" spans="1:11" s="71" customFormat="1" ht="31.5" outlineLevel="2" x14ac:dyDescent="0.25">
      <c r="A492" s="68" t="s">
        <v>2407</v>
      </c>
      <c r="B492" s="68" t="s">
        <v>2817</v>
      </c>
      <c r="C492" s="69" t="s">
        <v>662</v>
      </c>
      <c r="D492" s="117" t="s">
        <v>99</v>
      </c>
      <c r="E492" s="117">
        <f>HIDROSANITÁRIO!C55</f>
        <v>102.18</v>
      </c>
      <c r="F492" s="201">
        <v>13.21</v>
      </c>
      <c r="G492" s="201">
        <f t="shared" si="170"/>
        <v>16.741033000000002</v>
      </c>
      <c r="H492" s="201">
        <f t="shared" si="169"/>
        <v>1710.59</v>
      </c>
      <c r="I492" s="118"/>
    </row>
    <row r="493" spans="1:11" s="71" customFormat="1" ht="31.5" outlineLevel="2" x14ac:dyDescent="0.25">
      <c r="A493" s="68" t="s">
        <v>2408</v>
      </c>
      <c r="B493" s="68" t="s">
        <v>2818</v>
      </c>
      <c r="C493" s="69" t="s">
        <v>663</v>
      </c>
      <c r="D493" s="117" t="s">
        <v>99</v>
      </c>
      <c r="E493" s="117">
        <f>HIDROSANITÁRIO!C56</f>
        <v>34.299999999999997</v>
      </c>
      <c r="F493" s="201">
        <v>20.239999999999998</v>
      </c>
      <c r="G493" s="201">
        <f t="shared" si="170"/>
        <v>25.650151999999999</v>
      </c>
      <c r="H493" s="201">
        <f t="shared" si="169"/>
        <v>879.8</v>
      </c>
    </row>
    <row r="494" spans="1:11" s="71" customFormat="1" ht="31.5" outlineLevel="2" x14ac:dyDescent="0.25">
      <c r="A494" s="68" t="s">
        <v>2409</v>
      </c>
      <c r="B494" s="68" t="s">
        <v>2819</v>
      </c>
      <c r="C494" s="69" t="s">
        <v>664</v>
      </c>
      <c r="D494" s="117" t="s">
        <v>99</v>
      </c>
      <c r="E494" s="117">
        <f>HIDROSANITÁRIO!C57</f>
        <v>22.34</v>
      </c>
      <c r="F494" s="201">
        <v>28.22</v>
      </c>
      <c r="G494" s="201">
        <f t="shared" si="170"/>
        <v>35.763206000000004</v>
      </c>
      <c r="H494" s="201">
        <f t="shared" si="169"/>
        <v>798.95</v>
      </c>
    </row>
    <row r="495" spans="1:11" s="71" customFormat="1" ht="31.5" outlineLevel="2" x14ac:dyDescent="0.25">
      <c r="A495" s="68" t="s">
        <v>2410</v>
      </c>
      <c r="B495" s="68" t="s">
        <v>2820</v>
      </c>
      <c r="C495" s="69" t="s">
        <v>665</v>
      </c>
      <c r="D495" s="117" t="s">
        <v>99</v>
      </c>
      <c r="E495" s="117">
        <f>HIDROSANITÁRIO!C58</f>
        <v>120.8</v>
      </c>
      <c r="F495" s="201">
        <v>35.380000000000003</v>
      </c>
      <c r="G495" s="201">
        <f t="shared" si="170"/>
        <v>44.837074000000008</v>
      </c>
      <c r="H495" s="201">
        <f t="shared" si="169"/>
        <v>5416.31</v>
      </c>
    </row>
    <row r="496" spans="1:11" s="71" customFormat="1" ht="47.25" outlineLevel="2" x14ac:dyDescent="0.25">
      <c r="A496" s="68" t="s">
        <v>2411</v>
      </c>
      <c r="B496" s="68" t="s">
        <v>2821</v>
      </c>
      <c r="C496" s="69" t="s">
        <v>666</v>
      </c>
      <c r="D496" s="117" t="s">
        <v>56</v>
      </c>
      <c r="E496" s="117">
        <f>HIDROSANITÁRIO!C59</f>
        <v>7</v>
      </c>
      <c r="F496" s="201">
        <v>8.66</v>
      </c>
      <c r="G496" s="201">
        <f t="shared" si="170"/>
        <v>10.974818000000001</v>
      </c>
      <c r="H496" s="201">
        <f t="shared" si="169"/>
        <v>76.819999999999993</v>
      </c>
    </row>
    <row r="497" spans="1:8" s="71" customFormat="1" ht="31.5" outlineLevel="2" x14ac:dyDescent="0.25">
      <c r="A497" s="68" t="s">
        <v>2412</v>
      </c>
      <c r="B497" s="68" t="s">
        <v>2822</v>
      </c>
      <c r="C497" s="69" t="s">
        <v>667</v>
      </c>
      <c r="D497" s="117" t="s">
        <v>56</v>
      </c>
      <c r="E497" s="117">
        <f>HIDROSANITÁRIO!C60</f>
        <v>7</v>
      </c>
      <c r="F497" s="201">
        <v>16.16</v>
      </c>
      <c r="G497" s="201">
        <f t="shared" si="170"/>
        <v>20.479568</v>
      </c>
      <c r="H497" s="201">
        <f t="shared" si="169"/>
        <v>143.35</v>
      </c>
    </row>
    <row r="498" spans="1:8" s="71" customFormat="1" ht="31.5" outlineLevel="2" x14ac:dyDescent="0.25">
      <c r="A498" s="68" t="s">
        <v>2413</v>
      </c>
      <c r="B498" s="68" t="s">
        <v>2823</v>
      </c>
      <c r="C498" s="69" t="s">
        <v>668</v>
      </c>
      <c r="D498" s="117" t="s">
        <v>56</v>
      </c>
      <c r="E498" s="117">
        <f>HIDROSANITÁRIO!C61</f>
        <v>13</v>
      </c>
      <c r="F498" s="201">
        <v>34.86</v>
      </c>
      <c r="G498" s="201">
        <f t="shared" si="170"/>
        <v>44.178077999999999</v>
      </c>
      <c r="H498" s="201">
        <f t="shared" si="169"/>
        <v>574.30999999999995</v>
      </c>
    </row>
    <row r="499" spans="1:8" s="71" customFormat="1" ht="31.5" outlineLevel="2" x14ac:dyDescent="0.25">
      <c r="A499" s="68" t="s">
        <v>2414</v>
      </c>
      <c r="B499" s="68" t="s">
        <v>2824</v>
      </c>
      <c r="C499" s="69" t="s">
        <v>2116</v>
      </c>
      <c r="D499" s="117" t="s">
        <v>56</v>
      </c>
      <c r="E499" s="117">
        <f>HIDROSANITÁRIO!C62</f>
        <v>2</v>
      </c>
      <c r="F499" s="201">
        <v>62.42</v>
      </c>
      <c r="G499" s="201">
        <f t="shared" ref="G499" si="175">F499*(1+$E$2)</f>
        <v>79.104866000000001</v>
      </c>
      <c r="H499" s="201">
        <f t="shared" si="169"/>
        <v>158.19999999999999</v>
      </c>
    </row>
    <row r="500" spans="1:8" s="71" customFormat="1" ht="31.5" outlineLevel="2" x14ac:dyDescent="0.25">
      <c r="A500" s="68" t="s">
        <v>2415</v>
      </c>
      <c r="B500" s="68" t="s">
        <v>2825</v>
      </c>
      <c r="C500" s="69" t="s">
        <v>669</v>
      </c>
      <c r="D500" s="117" t="s">
        <v>56</v>
      </c>
      <c r="E500" s="117">
        <f>HIDROSANITÁRIO!C63</f>
        <v>2</v>
      </c>
      <c r="F500" s="201">
        <v>92.61</v>
      </c>
      <c r="G500" s="201">
        <f t="shared" si="170"/>
        <v>117.364653</v>
      </c>
      <c r="H500" s="201">
        <f t="shared" si="169"/>
        <v>234.72</v>
      </c>
    </row>
    <row r="501" spans="1:8" s="71" customFormat="1" ht="47.25" outlineLevel="2" x14ac:dyDescent="0.25">
      <c r="A501" s="68" t="s">
        <v>2416</v>
      </c>
      <c r="B501" s="68">
        <v>89627</v>
      </c>
      <c r="C501" s="69" t="s">
        <v>670</v>
      </c>
      <c r="D501" s="117" t="s">
        <v>56</v>
      </c>
      <c r="E501" s="117">
        <f>HIDROSANITÁRIO!C64</f>
        <v>9</v>
      </c>
      <c r="F501" s="201">
        <v>15.86</v>
      </c>
      <c r="G501" s="201">
        <f t="shared" ref="G501" si="176">F501*(1+$E$2)</f>
        <v>20.099378000000002</v>
      </c>
      <c r="H501" s="201">
        <f t="shared" si="169"/>
        <v>180.89</v>
      </c>
    </row>
    <row r="502" spans="1:8" s="71" customFormat="1" ht="47.25" outlineLevel="2" x14ac:dyDescent="0.25">
      <c r="A502" s="68" t="s">
        <v>2417</v>
      </c>
      <c r="B502" s="68" t="s">
        <v>2826</v>
      </c>
      <c r="C502" s="69" t="s">
        <v>874</v>
      </c>
      <c r="D502" s="117" t="s">
        <v>56</v>
      </c>
      <c r="E502" s="117">
        <f>HIDROSANITÁRIO!C65</f>
        <v>5</v>
      </c>
      <c r="F502" s="201">
        <v>53.25</v>
      </c>
      <c r="G502" s="201">
        <f t="shared" si="170"/>
        <v>67.483725000000007</v>
      </c>
      <c r="H502" s="201">
        <f t="shared" si="169"/>
        <v>337.41</v>
      </c>
    </row>
    <row r="503" spans="1:8" s="71" customFormat="1" ht="47.25" outlineLevel="2" x14ac:dyDescent="0.25">
      <c r="A503" s="68" t="s">
        <v>2418</v>
      </c>
      <c r="B503" s="68">
        <v>89442</v>
      </c>
      <c r="C503" s="69" t="s">
        <v>3173</v>
      </c>
      <c r="D503" s="117" t="s">
        <v>56</v>
      </c>
      <c r="E503" s="117">
        <f>HIDROSANITÁRIO!C66</f>
        <v>1</v>
      </c>
      <c r="F503" s="201">
        <v>7.8</v>
      </c>
      <c r="G503" s="201">
        <f t="shared" si="170"/>
        <v>9.8849400000000003</v>
      </c>
      <c r="H503" s="201">
        <f t="shared" si="169"/>
        <v>9.8800000000000008</v>
      </c>
    </row>
    <row r="504" spans="1:8" s="71" customFormat="1" ht="47.25" outlineLevel="2" x14ac:dyDescent="0.25">
      <c r="A504" s="68" t="s">
        <v>2419</v>
      </c>
      <c r="B504" s="68" t="s">
        <v>2827</v>
      </c>
      <c r="C504" s="69" t="s">
        <v>2828</v>
      </c>
      <c r="D504" s="117" t="s">
        <v>56</v>
      </c>
      <c r="E504" s="117">
        <f>HIDROSANITÁRIO!C67</f>
        <v>10</v>
      </c>
      <c r="F504" s="201">
        <v>78.97</v>
      </c>
      <c r="G504" s="201">
        <f t="shared" si="170"/>
        <v>100.078681</v>
      </c>
      <c r="H504" s="201">
        <f t="shared" si="169"/>
        <v>1000.78</v>
      </c>
    </row>
    <row r="505" spans="1:8" s="71" customFormat="1" outlineLevel="2" x14ac:dyDescent="0.25">
      <c r="A505" s="68" t="s">
        <v>2420</v>
      </c>
      <c r="B505" s="68" t="s">
        <v>850</v>
      </c>
      <c r="C505" s="69" t="s">
        <v>851</v>
      </c>
      <c r="D505" s="68" t="s">
        <v>56</v>
      </c>
      <c r="E505" s="70">
        <f>HIDROSANITÁRIO!C68</f>
        <v>3</v>
      </c>
      <c r="F505" s="201">
        <v>71.8</v>
      </c>
      <c r="G505" s="201">
        <f t="shared" si="170"/>
        <v>90.992140000000006</v>
      </c>
      <c r="H505" s="201">
        <f t="shared" si="169"/>
        <v>272.97000000000003</v>
      </c>
    </row>
    <row r="506" spans="1:8" s="71" customFormat="1" ht="78.75" outlineLevel="2" x14ac:dyDescent="0.25">
      <c r="A506" s="68" t="s">
        <v>2421</v>
      </c>
      <c r="B506" s="68" t="s">
        <v>2829</v>
      </c>
      <c r="C506" s="69" t="s">
        <v>2830</v>
      </c>
      <c r="D506" s="117" t="s">
        <v>56</v>
      </c>
      <c r="E506" s="117">
        <f>HIDROSANITÁRIO!C69</f>
        <v>19</v>
      </c>
      <c r="F506" s="201">
        <v>7.66</v>
      </c>
      <c r="G506" s="201">
        <f t="shared" si="170"/>
        <v>9.7075180000000003</v>
      </c>
      <c r="H506" s="201">
        <f t="shared" si="169"/>
        <v>184.44</v>
      </c>
    </row>
    <row r="507" spans="1:8" s="71" customFormat="1" ht="47.25" outlineLevel="2" x14ac:dyDescent="0.25">
      <c r="A507" s="68" t="s">
        <v>2422</v>
      </c>
      <c r="B507" s="68" t="s">
        <v>2831</v>
      </c>
      <c r="C507" s="69" t="s">
        <v>651</v>
      </c>
      <c r="D507" s="117" t="s">
        <v>56</v>
      </c>
      <c r="E507" s="117">
        <f>HIDROSANITÁRIO!C70</f>
        <v>17</v>
      </c>
      <c r="F507" s="201">
        <v>11.17</v>
      </c>
      <c r="G507" s="201">
        <f t="shared" si="170"/>
        <v>14.155741000000001</v>
      </c>
      <c r="H507" s="201">
        <f t="shared" si="169"/>
        <v>240.64</v>
      </c>
    </row>
    <row r="508" spans="1:8" s="71" customFormat="1" ht="47.25" outlineLevel="2" x14ac:dyDescent="0.25">
      <c r="A508" s="68" t="s">
        <v>2423</v>
      </c>
      <c r="B508" s="68" t="s">
        <v>2118</v>
      </c>
      <c r="C508" s="69" t="s">
        <v>2119</v>
      </c>
      <c r="D508" s="117" t="s">
        <v>56</v>
      </c>
      <c r="E508" s="117">
        <f>HIDROSANITÁRIO!C71</f>
        <v>3</v>
      </c>
      <c r="F508" s="201">
        <v>12.6</v>
      </c>
      <c r="G508" s="201">
        <f t="shared" ref="G508" si="177">F508*(1+$E$2)</f>
        <v>15.967980000000001</v>
      </c>
      <c r="H508" s="201">
        <f t="shared" si="169"/>
        <v>47.9</v>
      </c>
    </row>
    <row r="509" spans="1:8" s="71" customFormat="1" ht="63" outlineLevel="2" x14ac:dyDescent="0.25">
      <c r="A509" s="68" t="s">
        <v>2424</v>
      </c>
      <c r="B509" s="68" t="s">
        <v>2832</v>
      </c>
      <c r="C509" s="69" t="s">
        <v>671</v>
      </c>
      <c r="D509" s="117" t="s">
        <v>56</v>
      </c>
      <c r="E509" s="117">
        <f>HIDROSANITÁRIO!C72</f>
        <v>25</v>
      </c>
      <c r="F509" s="201">
        <v>14.26</v>
      </c>
      <c r="G509" s="201">
        <f t="shared" si="170"/>
        <v>18.071698000000001</v>
      </c>
      <c r="H509" s="201">
        <f t="shared" si="169"/>
        <v>451.79</v>
      </c>
    </row>
    <row r="510" spans="1:8" s="71" customFormat="1" ht="63" outlineLevel="2" x14ac:dyDescent="0.25">
      <c r="A510" s="68" t="s">
        <v>2425</v>
      </c>
      <c r="B510" s="68" t="s">
        <v>2790</v>
      </c>
      <c r="C510" s="69" t="s">
        <v>672</v>
      </c>
      <c r="D510" s="117" t="s">
        <v>56</v>
      </c>
      <c r="E510" s="117">
        <f>HIDROSANITÁRIO!C73</f>
        <v>4</v>
      </c>
      <c r="F510" s="201">
        <v>17.13</v>
      </c>
      <c r="G510" s="201">
        <f t="shared" si="170"/>
        <v>21.708849000000001</v>
      </c>
      <c r="H510" s="201">
        <f t="shared" si="169"/>
        <v>86.83</v>
      </c>
    </row>
    <row r="511" spans="1:8" s="71" customFormat="1" outlineLevel="2" x14ac:dyDescent="0.25">
      <c r="A511" s="68" t="s">
        <v>2426</v>
      </c>
      <c r="B511" s="68" t="s">
        <v>3061</v>
      </c>
      <c r="C511" s="246" t="s">
        <v>3062</v>
      </c>
      <c r="D511" s="117" t="s">
        <v>56</v>
      </c>
      <c r="E511" s="117">
        <f>HIDROSANITÁRIO!C74</f>
        <v>1</v>
      </c>
      <c r="F511" s="201">
        <v>20.12</v>
      </c>
      <c r="G511" s="201">
        <f>F511*(1+$E$2)</f>
        <v>25.498076000000005</v>
      </c>
      <c r="H511" s="201">
        <f t="shared" si="169"/>
        <v>25.49</v>
      </c>
    </row>
    <row r="512" spans="1:8" s="71" customFormat="1" outlineLevel="1" x14ac:dyDescent="0.25">
      <c r="A512" s="79"/>
      <c r="B512" s="79"/>
      <c r="C512" s="119" t="s">
        <v>14</v>
      </c>
      <c r="D512" s="79"/>
      <c r="E512" s="81"/>
      <c r="F512" s="203"/>
      <c r="G512" s="218"/>
      <c r="H512" s="218">
        <f>SUM(H460:H511)</f>
        <v>26102.200000000008</v>
      </c>
    </row>
    <row r="513" spans="1:8" s="71" customFormat="1" outlineLevel="1" x14ac:dyDescent="0.25">
      <c r="A513" s="170" t="s">
        <v>400</v>
      </c>
      <c r="B513" s="68"/>
      <c r="C513" s="178" t="s">
        <v>320</v>
      </c>
      <c r="D513" s="117"/>
      <c r="E513" s="117"/>
      <c r="F513" s="200"/>
      <c r="G513" s="201"/>
      <c r="H513" s="201"/>
    </row>
    <row r="514" spans="1:8" s="71" customFormat="1" ht="47.25" outlineLevel="2" x14ac:dyDescent="0.25">
      <c r="A514" s="68" t="s">
        <v>401</v>
      </c>
      <c r="B514" s="68" t="s">
        <v>3339</v>
      </c>
      <c r="C514" s="116" t="s">
        <v>3340</v>
      </c>
      <c r="D514" s="117" t="s">
        <v>1994</v>
      </c>
      <c r="E514" s="117">
        <f>HIDROSANITÁRIO!C77</f>
        <v>1</v>
      </c>
      <c r="F514" s="201">
        <v>46748.9</v>
      </c>
      <c r="G514" s="201">
        <f t="shared" ref="G514:G518" si="178">F514*(1+$E$2)</f>
        <v>59244.880970000006</v>
      </c>
      <c r="H514" s="201">
        <f t="shared" ref="H514:H519" si="179">TRUNC((G514*E514),2)</f>
        <v>59244.88</v>
      </c>
    </row>
    <row r="515" spans="1:8" s="121" customFormat="1" outlineLevel="2" x14ac:dyDescent="0.25">
      <c r="A515" s="68" t="s">
        <v>402</v>
      </c>
      <c r="B515" s="115" t="s">
        <v>2833</v>
      </c>
      <c r="C515" s="116" t="s">
        <v>2135</v>
      </c>
      <c r="D515" s="120" t="s">
        <v>56</v>
      </c>
      <c r="E515" s="117">
        <f>HIDROSANITÁRIO!C78</f>
        <v>2</v>
      </c>
      <c r="F515" s="201">
        <v>973.34</v>
      </c>
      <c r="G515" s="201">
        <f t="shared" si="178"/>
        <v>1233.5137820000002</v>
      </c>
      <c r="H515" s="201">
        <f t="shared" si="179"/>
        <v>2467.02</v>
      </c>
    </row>
    <row r="516" spans="1:8" s="121" customFormat="1" ht="31.5" outlineLevel="2" x14ac:dyDescent="0.25">
      <c r="A516" s="68" t="s">
        <v>403</v>
      </c>
      <c r="B516" s="68" t="s">
        <v>3175</v>
      </c>
      <c r="C516" s="116" t="s">
        <v>3174</v>
      </c>
      <c r="D516" s="523" t="s">
        <v>56</v>
      </c>
      <c r="E516" s="117">
        <f>HIDROSANITÁRIO!C79</f>
        <v>1</v>
      </c>
      <c r="F516" s="201">
        <v>12633.89</v>
      </c>
      <c r="G516" s="201">
        <f t="shared" ref="G516" si="180">F516*(1+$E$2)</f>
        <v>16010.928797</v>
      </c>
      <c r="H516" s="201">
        <f t="shared" si="179"/>
        <v>16010.92</v>
      </c>
    </row>
    <row r="517" spans="1:8" s="121" customFormat="1" ht="31.5" outlineLevel="2" x14ac:dyDescent="0.25">
      <c r="A517" s="68" t="s">
        <v>2632</v>
      </c>
      <c r="B517" s="68" t="s">
        <v>2121</v>
      </c>
      <c r="C517" s="116" t="s">
        <v>2122</v>
      </c>
      <c r="D517" s="120" t="s">
        <v>56</v>
      </c>
      <c r="E517" s="117">
        <f>HIDROSANITÁRIO!C80</f>
        <v>1</v>
      </c>
      <c r="F517" s="201">
        <v>18241.080000000002</v>
      </c>
      <c r="G517" s="201">
        <f t="shared" si="178"/>
        <v>23116.920684000004</v>
      </c>
      <c r="H517" s="201">
        <f t="shared" si="179"/>
        <v>23116.92</v>
      </c>
    </row>
    <row r="518" spans="1:8" s="121" customFormat="1" ht="31.5" outlineLevel="2" x14ac:dyDescent="0.25">
      <c r="A518" s="68" t="s">
        <v>2633</v>
      </c>
      <c r="B518" s="115" t="s">
        <v>2834</v>
      </c>
      <c r="C518" s="116" t="s">
        <v>2638</v>
      </c>
      <c r="D518" s="377" t="s">
        <v>56</v>
      </c>
      <c r="E518" s="117">
        <f>HIDROSANITÁRIO!C81</f>
        <v>3</v>
      </c>
      <c r="F518" s="201">
        <v>65.33</v>
      </c>
      <c r="G518" s="201">
        <f t="shared" si="178"/>
        <v>82.792709000000002</v>
      </c>
      <c r="H518" s="201">
        <f t="shared" si="179"/>
        <v>248.37</v>
      </c>
    </row>
    <row r="519" spans="1:8" s="121" customFormat="1" ht="31.5" outlineLevel="2" x14ac:dyDescent="0.25">
      <c r="A519" s="68" t="s">
        <v>3354</v>
      </c>
      <c r="B519" s="115" t="s">
        <v>2835</v>
      </c>
      <c r="C519" s="116" t="s">
        <v>2639</v>
      </c>
      <c r="D519" s="377" t="s">
        <v>56</v>
      </c>
      <c r="E519" s="117">
        <f>HIDROSANITÁRIO!C82</f>
        <v>3</v>
      </c>
      <c r="F519" s="201">
        <v>43.66</v>
      </c>
      <c r="G519" s="201">
        <f t="shared" ref="G519" si="181">F519*(1+$E$2)</f>
        <v>55.330317999999998</v>
      </c>
      <c r="H519" s="201">
        <f t="shared" si="179"/>
        <v>165.99</v>
      </c>
    </row>
    <row r="520" spans="1:8" s="71" customFormat="1" outlineLevel="1" x14ac:dyDescent="0.25">
      <c r="A520" s="79"/>
      <c r="B520" s="79"/>
      <c r="C520" s="119" t="s">
        <v>14</v>
      </c>
      <c r="D520" s="79"/>
      <c r="E520" s="81"/>
      <c r="F520" s="203"/>
      <c r="G520" s="218"/>
      <c r="H520" s="218">
        <f>SUM(H514:H519)</f>
        <v>101254.09999999999</v>
      </c>
    </row>
    <row r="521" spans="1:8" s="71" customFormat="1" outlineLevel="1" x14ac:dyDescent="0.25">
      <c r="A521" s="170" t="s">
        <v>404</v>
      </c>
      <c r="B521" s="68"/>
      <c r="C521" s="178" t="s">
        <v>321</v>
      </c>
      <c r="D521" s="117"/>
      <c r="E521" s="117"/>
      <c r="F521" s="200"/>
      <c r="G521" s="201"/>
      <c r="H521" s="201"/>
    </row>
    <row r="522" spans="1:8" s="71" customFormat="1" ht="31.5" outlineLevel="2" x14ac:dyDescent="0.25">
      <c r="A522" s="68" t="s">
        <v>405</v>
      </c>
      <c r="B522" s="68" t="s">
        <v>2836</v>
      </c>
      <c r="C522" s="116" t="s">
        <v>2837</v>
      </c>
      <c r="D522" s="117" t="s">
        <v>56</v>
      </c>
      <c r="E522" s="117">
        <f>HIDROSANITÁRIO!C85</f>
        <v>8</v>
      </c>
      <c r="F522" s="201">
        <v>157.06</v>
      </c>
      <c r="G522" s="201">
        <f t="shared" ref="G522:G529" si="182">F522*(1+$E$2)</f>
        <v>199.04213800000002</v>
      </c>
      <c r="H522" s="201">
        <f t="shared" ref="H522:H529" si="183">TRUNC((G522*E522),2)</f>
        <v>1592.33</v>
      </c>
    </row>
    <row r="523" spans="1:8" s="71" customFormat="1" ht="31.5" outlineLevel="2" x14ac:dyDescent="0.25">
      <c r="A523" s="68" t="s">
        <v>406</v>
      </c>
      <c r="B523" s="68" t="s">
        <v>2838</v>
      </c>
      <c r="C523" s="116" t="s">
        <v>673</v>
      </c>
      <c r="D523" s="117" t="s">
        <v>56</v>
      </c>
      <c r="E523" s="117">
        <f>HIDROSANITÁRIO!C86</f>
        <v>8</v>
      </c>
      <c r="F523" s="201">
        <v>154</v>
      </c>
      <c r="G523" s="201">
        <f t="shared" si="182"/>
        <v>195.16420000000002</v>
      </c>
      <c r="H523" s="201">
        <f t="shared" si="183"/>
        <v>1561.31</v>
      </c>
    </row>
    <row r="524" spans="1:8" s="71" customFormat="1" ht="63" outlineLevel="2" x14ac:dyDescent="0.25">
      <c r="A524" s="68" t="s">
        <v>407</v>
      </c>
      <c r="B524" s="68" t="s">
        <v>674</v>
      </c>
      <c r="C524" s="116" t="s">
        <v>2839</v>
      </c>
      <c r="D524" s="117" t="s">
        <v>56</v>
      </c>
      <c r="E524" s="117">
        <f>HIDROSANITÁRIO!C87</f>
        <v>3</v>
      </c>
      <c r="F524" s="201">
        <v>436.91</v>
      </c>
      <c r="G524" s="201">
        <f t="shared" si="182"/>
        <v>553.69604300000003</v>
      </c>
      <c r="H524" s="201">
        <f t="shared" si="183"/>
        <v>1661.08</v>
      </c>
    </row>
    <row r="525" spans="1:8" s="71" customFormat="1" ht="31.5" outlineLevel="2" x14ac:dyDescent="0.25">
      <c r="A525" s="68" t="s">
        <v>2427</v>
      </c>
      <c r="B525" s="68" t="s">
        <v>2840</v>
      </c>
      <c r="C525" s="116" t="s">
        <v>675</v>
      </c>
      <c r="D525" s="117" t="s">
        <v>56</v>
      </c>
      <c r="E525" s="117">
        <f>HIDROSANITÁRIO!C88</f>
        <v>10</v>
      </c>
      <c r="F525" s="201">
        <v>104.46</v>
      </c>
      <c r="G525" s="201">
        <f t="shared" si="182"/>
        <v>132.382158</v>
      </c>
      <c r="H525" s="201">
        <f t="shared" si="183"/>
        <v>1323.82</v>
      </c>
    </row>
    <row r="526" spans="1:8" s="71" customFormat="1" ht="47.25" outlineLevel="2" x14ac:dyDescent="0.25">
      <c r="A526" s="68" t="s">
        <v>2428</v>
      </c>
      <c r="B526" s="68" t="s">
        <v>2841</v>
      </c>
      <c r="C526" s="116" t="s">
        <v>676</v>
      </c>
      <c r="D526" s="117" t="s">
        <v>56</v>
      </c>
      <c r="E526" s="117">
        <f>HIDROSANITÁRIO!C89</f>
        <v>10</v>
      </c>
      <c r="F526" s="201">
        <v>47.13</v>
      </c>
      <c r="G526" s="201">
        <f t="shared" si="182"/>
        <v>59.727849000000006</v>
      </c>
      <c r="H526" s="201">
        <f t="shared" si="183"/>
        <v>597.27</v>
      </c>
    </row>
    <row r="527" spans="1:8" s="71" customFormat="1" ht="31.5" outlineLevel="2" x14ac:dyDescent="0.25">
      <c r="A527" s="68" t="s">
        <v>2429</v>
      </c>
      <c r="B527" s="68" t="s">
        <v>2842</v>
      </c>
      <c r="C527" s="116" t="s">
        <v>681</v>
      </c>
      <c r="D527" s="117" t="s">
        <v>56</v>
      </c>
      <c r="E527" s="117">
        <f>HIDROSANITÁRIO!C90</f>
        <v>8</v>
      </c>
      <c r="F527" s="201">
        <v>29.2</v>
      </c>
      <c r="G527" s="201">
        <f t="shared" si="182"/>
        <v>37.005160000000004</v>
      </c>
      <c r="H527" s="201">
        <f t="shared" si="183"/>
        <v>296.04000000000002</v>
      </c>
    </row>
    <row r="528" spans="1:8" s="71" customFormat="1" ht="31.5" outlineLevel="2" x14ac:dyDescent="0.25">
      <c r="A528" s="68" t="s">
        <v>2430</v>
      </c>
      <c r="B528" s="68" t="s">
        <v>817</v>
      </c>
      <c r="C528" s="69" t="s">
        <v>818</v>
      </c>
      <c r="D528" s="117" t="s">
        <v>56</v>
      </c>
      <c r="E528" s="117">
        <f>HIDROSANITÁRIO!C91</f>
        <v>2</v>
      </c>
      <c r="F528" s="201">
        <v>48.08</v>
      </c>
      <c r="G528" s="201">
        <f t="shared" si="182"/>
        <v>60.931784</v>
      </c>
      <c r="H528" s="201">
        <f t="shared" si="183"/>
        <v>121.86</v>
      </c>
    </row>
    <row r="529" spans="1:8" s="71" customFormat="1" ht="47.25" outlineLevel="2" x14ac:dyDescent="0.25">
      <c r="A529" s="68" t="s">
        <v>2431</v>
      </c>
      <c r="B529" s="68" t="s">
        <v>2843</v>
      </c>
      <c r="C529" s="116" t="s">
        <v>682</v>
      </c>
      <c r="D529" s="117" t="s">
        <v>56</v>
      </c>
      <c r="E529" s="117">
        <f>HIDROSANITÁRIO!C92</f>
        <v>2</v>
      </c>
      <c r="F529" s="201">
        <v>42.65</v>
      </c>
      <c r="G529" s="201">
        <f t="shared" si="182"/>
        <v>54.050345</v>
      </c>
      <c r="H529" s="201">
        <f t="shared" si="183"/>
        <v>108.1</v>
      </c>
    </row>
    <row r="530" spans="1:8" s="71" customFormat="1" outlineLevel="1" x14ac:dyDescent="0.25">
      <c r="A530" s="79"/>
      <c r="B530" s="79"/>
      <c r="C530" s="119" t="s">
        <v>14</v>
      </c>
      <c r="D530" s="79"/>
      <c r="E530" s="81"/>
      <c r="F530" s="203"/>
      <c r="G530" s="218"/>
      <c r="H530" s="218">
        <f>SUM(H522:H529)</f>
        <v>7261.8099999999995</v>
      </c>
    </row>
    <row r="531" spans="1:8" s="71" customFormat="1" outlineLevel="1" x14ac:dyDescent="0.25">
      <c r="A531" s="170" t="s">
        <v>408</v>
      </c>
      <c r="B531" s="68"/>
      <c r="C531" s="178" t="s">
        <v>358</v>
      </c>
      <c r="D531" s="117"/>
      <c r="E531" s="117"/>
      <c r="F531" s="200"/>
      <c r="G531" s="201"/>
      <c r="H531" s="201"/>
    </row>
    <row r="532" spans="1:8" s="71" customFormat="1" ht="31.5" outlineLevel="2" x14ac:dyDescent="0.25">
      <c r="A532" s="68" t="s">
        <v>409</v>
      </c>
      <c r="B532" s="68" t="s">
        <v>2836</v>
      </c>
      <c r="C532" s="116" t="s">
        <v>2837</v>
      </c>
      <c r="D532" s="117" t="s">
        <v>56</v>
      </c>
      <c r="E532" s="117">
        <f>HIDROSANITÁRIO!C95</f>
        <v>4</v>
      </c>
      <c r="F532" s="201">
        <v>157.06</v>
      </c>
      <c r="G532" s="201">
        <f t="shared" ref="G532:G539" si="184">F532*(1+$E$2)</f>
        <v>199.04213800000002</v>
      </c>
      <c r="H532" s="201">
        <f t="shared" ref="H532:H539" si="185">TRUNC((G532*E532),2)</f>
        <v>796.16</v>
      </c>
    </row>
    <row r="533" spans="1:8" s="71" customFormat="1" ht="31.5" outlineLevel="2" x14ac:dyDescent="0.25">
      <c r="A533" s="68" t="s">
        <v>410</v>
      </c>
      <c r="B533" s="68" t="s">
        <v>2838</v>
      </c>
      <c r="C533" s="116" t="s">
        <v>673</v>
      </c>
      <c r="D533" s="117" t="s">
        <v>56</v>
      </c>
      <c r="E533" s="117">
        <f>HIDROSANITÁRIO!C96</f>
        <v>4</v>
      </c>
      <c r="F533" s="201">
        <v>154</v>
      </c>
      <c r="G533" s="201">
        <f t="shared" si="184"/>
        <v>195.16420000000002</v>
      </c>
      <c r="H533" s="201">
        <f t="shared" si="185"/>
        <v>780.65</v>
      </c>
    </row>
    <row r="534" spans="1:8" s="71" customFormat="1" ht="31.5" outlineLevel="2" x14ac:dyDescent="0.25">
      <c r="A534" s="68" t="s">
        <v>2241</v>
      </c>
      <c r="B534" s="68" t="s">
        <v>2844</v>
      </c>
      <c r="C534" s="116" t="s">
        <v>677</v>
      </c>
      <c r="D534" s="117" t="s">
        <v>56</v>
      </c>
      <c r="E534" s="117">
        <f>HIDROSANITÁRIO!C97</f>
        <v>6</v>
      </c>
      <c r="F534" s="201">
        <v>63.66</v>
      </c>
      <c r="G534" s="201">
        <f t="shared" si="184"/>
        <v>80.676317999999995</v>
      </c>
      <c r="H534" s="201">
        <f t="shared" si="185"/>
        <v>484.05</v>
      </c>
    </row>
    <row r="535" spans="1:8" s="71" customFormat="1" ht="31.5" outlineLevel="2" x14ac:dyDescent="0.25">
      <c r="A535" s="68" t="s">
        <v>2242</v>
      </c>
      <c r="B535" s="68" t="s">
        <v>2840</v>
      </c>
      <c r="C535" s="116" t="s">
        <v>675</v>
      </c>
      <c r="D535" s="117" t="s">
        <v>56</v>
      </c>
      <c r="E535" s="117">
        <f>HIDROSANITÁRIO!C98</f>
        <v>4</v>
      </c>
      <c r="F535" s="201">
        <v>104.46</v>
      </c>
      <c r="G535" s="201">
        <f t="shared" si="184"/>
        <v>132.382158</v>
      </c>
      <c r="H535" s="201">
        <f t="shared" si="185"/>
        <v>529.52</v>
      </c>
    </row>
    <row r="536" spans="1:8" s="71" customFormat="1" ht="47.25" outlineLevel="2" x14ac:dyDescent="0.25">
      <c r="A536" s="68" t="s">
        <v>2243</v>
      </c>
      <c r="B536" s="68" t="s">
        <v>2841</v>
      </c>
      <c r="C536" s="116" t="s">
        <v>676</v>
      </c>
      <c r="D536" s="117" t="s">
        <v>56</v>
      </c>
      <c r="E536" s="117">
        <f>HIDROSANITÁRIO!C99</f>
        <v>4</v>
      </c>
      <c r="F536" s="201">
        <v>47.13</v>
      </c>
      <c r="G536" s="201">
        <f t="shared" si="184"/>
        <v>59.727849000000006</v>
      </c>
      <c r="H536" s="201">
        <f t="shared" si="185"/>
        <v>238.91</v>
      </c>
    </row>
    <row r="537" spans="1:8" s="71" customFormat="1" ht="31.5" outlineLevel="2" x14ac:dyDescent="0.25">
      <c r="A537" s="68" t="s">
        <v>2244</v>
      </c>
      <c r="B537" s="68" t="s">
        <v>2842</v>
      </c>
      <c r="C537" s="116" t="s">
        <v>681</v>
      </c>
      <c r="D537" s="117" t="s">
        <v>56</v>
      </c>
      <c r="E537" s="117">
        <f>HIDROSANITÁRIO!C100</f>
        <v>4</v>
      </c>
      <c r="F537" s="201">
        <v>29.2</v>
      </c>
      <c r="G537" s="201">
        <f t="shared" si="184"/>
        <v>37.005160000000004</v>
      </c>
      <c r="H537" s="201">
        <f t="shared" si="185"/>
        <v>148.02000000000001</v>
      </c>
    </row>
    <row r="538" spans="1:8" s="71" customFormat="1" ht="31.5" outlineLevel="2" x14ac:dyDescent="0.25">
      <c r="A538" s="68" t="s">
        <v>2245</v>
      </c>
      <c r="B538" s="68" t="s">
        <v>817</v>
      </c>
      <c r="C538" s="69" t="s">
        <v>818</v>
      </c>
      <c r="D538" s="117" t="s">
        <v>56</v>
      </c>
      <c r="E538" s="117">
        <f>HIDROSANITÁRIO!C101</f>
        <v>2</v>
      </c>
      <c r="F538" s="201">
        <v>48.08</v>
      </c>
      <c r="G538" s="201">
        <f t="shared" si="184"/>
        <v>60.931784</v>
      </c>
      <c r="H538" s="201">
        <f t="shared" si="185"/>
        <v>121.86</v>
      </c>
    </row>
    <row r="539" spans="1:8" s="71" customFormat="1" ht="47.25" outlineLevel="2" x14ac:dyDescent="0.25">
      <c r="A539" s="68" t="s">
        <v>2246</v>
      </c>
      <c r="B539" s="68" t="s">
        <v>2843</v>
      </c>
      <c r="C539" s="116" t="s">
        <v>682</v>
      </c>
      <c r="D539" s="117" t="s">
        <v>56</v>
      </c>
      <c r="E539" s="117">
        <f>HIDROSANITÁRIO!C102</f>
        <v>2</v>
      </c>
      <c r="F539" s="201">
        <v>42.65</v>
      </c>
      <c r="G539" s="201">
        <f t="shared" si="184"/>
        <v>54.050345</v>
      </c>
      <c r="H539" s="201">
        <f t="shared" si="185"/>
        <v>108.1</v>
      </c>
    </row>
    <row r="540" spans="1:8" s="71" customFormat="1" outlineLevel="1" x14ac:dyDescent="0.25">
      <c r="A540" s="79"/>
      <c r="B540" s="79"/>
      <c r="C540" s="119" t="s">
        <v>14</v>
      </c>
      <c r="D540" s="79"/>
      <c r="E540" s="81"/>
      <c r="F540" s="203"/>
      <c r="G540" s="218"/>
      <c r="H540" s="218">
        <f>SUM(H532:H539)</f>
        <v>3207.27</v>
      </c>
    </row>
    <row r="541" spans="1:8" s="71" customFormat="1" outlineLevel="1" x14ac:dyDescent="0.25">
      <c r="A541" s="170" t="s">
        <v>411</v>
      </c>
      <c r="B541" s="68"/>
      <c r="C541" s="178" t="s">
        <v>322</v>
      </c>
      <c r="D541" s="117"/>
      <c r="E541" s="117"/>
      <c r="F541" s="200"/>
      <c r="G541" s="201"/>
      <c r="H541" s="201"/>
    </row>
    <row r="542" spans="1:8" s="71" customFormat="1" ht="78.75" outlineLevel="2" x14ac:dyDescent="0.25">
      <c r="A542" s="68" t="s">
        <v>412</v>
      </c>
      <c r="B542" s="68" t="s">
        <v>2845</v>
      </c>
      <c r="C542" s="116" t="s">
        <v>678</v>
      </c>
      <c r="D542" s="117" t="s">
        <v>56</v>
      </c>
      <c r="E542" s="117">
        <f>HIDROSANITÁRIO!C105</f>
        <v>2</v>
      </c>
      <c r="F542" s="201">
        <v>170.58</v>
      </c>
      <c r="G542" s="201">
        <f t="shared" ref="G542:G547" si="186">F542*(1+$E$2)</f>
        <v>216.17603400000004</v>
      </c>
      <c r="H542" s="201">
        <f t="shared" ref="H542:H547" si="187">TRUNC((G542*E542),2)</f>
        <v>432.35</v>
      </c>
    </row>
    <row r="543" spans="1:8" s="71" customFormat="1" ht="47.25" outlineLevel="2" x14ac:dyDescent="0.25">
      <c r="A543" s="68" t="s">
        <v>1074</v>
      </c>
      <c r="B543" s="68" t="s">
        <v>2846</v>
      </c>
      <c r="C543" s="116" t="s">
        <v>2847</v>
      </c>
      <c r="D543" s="117" t="s">
        <v>56</v>
      </c>
      <c r="E543" s="117">
        <f>HIDROSANITÁRIO!C106</f>
        <v>2</v>
      </c>
      <c r="F543" s="201">
        <v>345.75</v>
      </c>
      <c r="G543" s="201">
        <f t="shared" si="186"/>
        <v>438.16897500000005</v>
      </c>
      <c r="H543" s="201">
        <f t="shared" si="187"/>
        <v>876.33</v>
      </c>
    </row>
    <row r="544" spans="1:8" s="71" customFormat="1" ht="31.5" outlineLevel="2" x14ac:dyDescent="0.25">
      <c r="A544" s="68" t="s">
        <v>1075</v>
      </c>
      <c r="B544" s="68" t="s">
        <v>2842</v>
      </c>
      <c r="C544" s="116" t="s">
        <v>681</v>
      </c>
      <c r="D544" s="117" t="s">
        <v>56</v>
      </c>
      <c r="E544" s="117">
        <f>HIDROSANITÁRIO!C107</f>
        <v>2</v>
      </c>
      <c r="F544" s="201">
        <v>29.2</v>
      </c>
      <c r="G544" s="201">
        <f t="shared" si="186"/>
        <v>37.005160000000004</v>
      </c>
      <c r="H544" s="201">
        <f t="shared" si="187"/>
        <v>74.010000000000005</v>
      </c>
    </row>
    <row r="545" spans="1:8" s="71" customFormat="1" ht="31.5" outlineLevel="2" x14ac:dyDescent="0.25">
      <c r="A545" s="68" t="s">
        <v>2247</v>
      </c>
      <c r="B545" s="68" t="s">
        <v>817</v>
      </c>
      <c r="C545" s="69" t="s">
        <v>818</v>
      </c>
      <c r="D545" s="117" t="s">
        <v>56</v>
      </c>
      <c r="E545" s="117">
        <f>HIDROSANITÁRIO!C108</f>
        <v>2</v>
      </c>
      <c r="F545" s="201">
        <v>48.08</v>
      </c>
      <c r="G545" s="201">
        <f t="shared" si="186"/>
        <v>60.931784</v>
      </c>
      <c r="H545" s="201">
        <f t="shared" si="187"/>
        <v>121.86</v>
      </c>
    </row>
    <row r="546" spans="1:8" s="71" customFormat="1" ht="47.25" outlineLevel="2" x14ac:dyDescent="0.25">
      <c r="A546" s="68" t="s">
        <v>2248</v>
      </c>
      <c r="B546" s="68" t="s">
        <v>2843</v>
      </c>
      <c r="C546" s="116" t="s">
        <v>682</v>
      </c>
      <c r="D546" s="117" t="s">
        <v>56</v>
      </c>
      <c r="E546" s="117">
        <f>HIDROSANITÁRIO!C109</f>
        <v>2</v>
      </c>
      <c r="F546" s="201">
        <v>42.65</v>
      </c>
      <c r="G546" s="201">
        <f t="shared" si="186"/>
        <v>54.050345</v>
      </c>
      <c r="H546" s="201">
        <f t="shared" si="187"/>
        <v>108.1</v>
      </c>
    </row>
    <row r="547" spans="1:8" s="71" customFormat="1" ht="31.5" outlineLevel="2" x14ac:dyDescent="0.25">
      <c r="A547" s="68" t="s">
        <v>2249</v>
      </c>
      <c r="B547" s="115" t="s">
        <v>854</v>
      </c>
      <c r="C547" s="116" t="s">
        <v>855</v>
      </c>
      <c r="D547" s="117" t="s">
        <v>56</v>
      </c>
      <c r="E547" s="117">
        <f>HIDROSANITÁRIO!C110</f>
        <v>1</v>
      </c>
      <c r="F547" s="201">
        <v>876.75</v>
      </c>
      <c r="G547" s="201">
        <f t="shared" si="186"/>
        <v>1111.1052750000001</v>
      </c>
      <c r="H547" s="201">
        <f t="shared" si="187"/>
        <v>1111.0999999999999</v>
      </c>
    </row>
    <row r="548" spans="1:8" s="71" customFormat="1" outlineLevel="1" x14ac:dyDescent="0.25">
      <c r="A548" s="79"/>
      <c r="B548" s="79"/>
      <c r="C548" s="119" t="s">
        <v>14</v>
      </c>
      <c r="D548" s="79"/>
      <c r="E548" s="81"/>
      <c r="F548" s="203"/>
      <c r="G548" s="218"/>
      <c r="H548" s="218">
        <f>SUM(H542:H547)</f>
        <v>2723.75</v>
      </c>
    </row>
    <row r="549" spans="1:8" s="71" customFormat="1" outlineLevel="1" x14ac:dyDescent="0.25">
      <c r="A549" s="170" t="s">
        <v>413</v>
      </c>
      <c r="B549" s="68"/>
      <c r="C549" s="178" t="s">
        <v>323</v>
      </c>
      <c r="D549" s="117"/>
      <c r="E549" s="117"/>
      <c r="F549" s="200"/>
      <c r="G549" s="201"/>
      <c r="H549" s="201"/>
    </row>
    <row r="550" spans="1:8" s="71" customFormat="1" ht="63" outlineLevel="2" x14ac:dyDescent="0.25">
      <c r="A550" s="68" t="s">
        <v>414</v>
      </c>
      <c r="B550" s="68" t="s">
        <v>2848</v>
      </c>
      <c r="C550" s="116" t="s">
        <v>680</v>
      </c>
      <c r="D550" s="68" t="s">
        <v>56</v>
      </c>
      <c r="E550" s="70">
        <f>HIDROSANITÁRIO!C113</f>
        <v>4</v>
      </c>
      <c r="F550" s="201">
        <v>188.83</v>
      </c>
      <c r="G550" s="201">
        <f t="shared" ref="G550:G551" si="188">F550*(1+$E$2)</f>
        <v>239.30425900000003</v>
      </c>
      <c r="H550" s="201">
        <f t="shared" ref="H550:H551" si="189">TRUNC((G550*E550),2)</f>
        <v>957.21</v>
      </c>
    </row>
    <row r="551" spans="1:8" s="71" customFormat="1" ht="47.25" outlineLevel="2" x14ac:dyDescent="0.25">
      <c r="A551" s="68" t="s">
        <v>415</v>
      </c>
      <c r="B551" s="115" t="s">
        <v>313</v>
      </c>
      <c r="C551" s="116" t="s">
        <v>856</v>
      </c>
      <c r="D551" s="117" t="s">
        <v>56</v>
      </c>
      <c r="E551" s="117">
        <f>HIDROSANITÁRIO!C114</f>
        <v>2</v>
      </c>
      <c r="F551" s="201">
        <v>1647.68</v>
      </c>
      <c r="G551" s="201">
        <f t="shared" si="188"/>
        <v>2088.1048640000004</v>
      </c>
      <c r="H551" s="201">
        <f t="shared" si="189"/>
        <v>4176.2</v>
      </c>
    </row>
    <row r="552" spans="1:8" s="71" customFormat="1" outlineLevel="1" x14ac:dyDescent="0.25">
      <c r="A552" s="79"/>
      <c r="B552" s="79"/>
      <c r="C552" s="119" t="s">
        <v>14</v>
      </c>
      <c r="D552" s="79"/>
      <c r="E552" s="81"/>
      <c r="F552" s="203"/>
      <c r="G552" s="218"/>
      <c r="H552" s="218">
        <f>SUM(H550:H551)</f>
        <v>5133.41</v>
      </c>
    </row>
    <row r="553" spans="1:8" s="71" customFormat="1" ht="31.5" outlineLevel="1" x14ac:dyDescent="0.25">
      <c r="A553" s="170" t="s">
        <v>416</v>
      </c>
      <c r="B553" s="68"/>
      <c r="C553" s="178" t="s">
        <v>324</v>
      </c>
      <c r="D553" s="117"/>
      <c r="E553" s="117"/>
      <c r="F553" s="200"/>
      <c r="G553" s="201"/>
      <c r="H553" s="201"/>
    </row>
    <row r="554" spans="1:8" s="71" customFormat="1" ht="141.75" outlineLevel="2" x14ac:dyDescent="0.25">
      <c r="A554" s="68" t="s">
        <v>417</v>
      </c>
      <c r="B554" s="68" t="s">
        <v>2849</v>
      </c>
      <c r="C554" s="116" t="s">
        <v>857</v>
      </c>
      <c r="D554" s="117" t="s">
        <v>56</v>
      </c>
      <c r="E554" s="117">
        <f>HIDROSANITÁRIO!C117</f>
        <v>2</v>
      </c>
      <c r="F554" s="201">
        <v>4622.92</v>
      </c>
      <c r="G554" s="201">
        <f t="shared" ref="G554:G559" si="190">F554*(1+$E$2)</f>
        <v>5858.6265160000003</v>
      </c>
      <c r="H554" s="201">
        <f t="shared" ref="H554:H559" si="191">TRUNC((G554*E554),2)</f>
        <v>11717.25</v>
      </c>
    </row>
    <row r="555" spans="1:8" s="71" customFormat="1" ht="141.75" outlineLevel="2" x14ac:dyDescent="0.25">
      <c r="A555" s="68" t="s">
        <v>418</v>
      </c>
      <c r="B555" s="68" t="s">
        <v>3177</v>
      </c>
      <c r="C555" s="116" t="s">
        <v>3176</v>
      </c>
      <c r="D555" s="117" t="s">
        <v>56</v>
      </c>
      <c r="E555" s="117">
        <f>HIDROSANITÁRIO!C118</f>
        <v>1</v>
      </c>
      <c r="F555" s="201">
        <v>2827.72</v>
      </c>
      <c r="G555" s="201">
        <f t="shared" ref="G555" si="192">F555*(1+$E$2)</f>
        <v>3583.5695559999999</v>
      </c>
      <c r="H555" s="201">
        <f t="shared" si="191"/>
        <v>3583.56</v>
      </c>
    </row>
    <row r="556" spans="1:8" s="71" customFormat="1" ht="141.75" outlineLevel="2" x14ac:dyDescent="0.25">
      <c r="A556" s="68" t="s">
        <v>2432</v>
      </c>
      <c r="B556" s="68" t="s">
        <v>3179</v>
      </c>
      <c r="C556" s="116" t="s">
        <v>3178</v>
      </c>
      <c r="D556" s="117" t="s">
        <v>56</v>
      </c>
      <c r="E556" s="117">
        <f>HIDROSANITÁRIO!C119</f>
        <v>1</v>
      </c>
      <c r="F556" s="201">
        <v>4327.71</v>
      </c>
      <c r="G556" s="201">
        <f t="shared" ref="G556" si="193">F556*(1+$E$2)</f>
        <v>5484.506883</v>
      </c>
      <c r="H556" s="201">
        <f t="shared" si="191"/>
        <v>5484.5</v>
      </c>
    </row>
    <row r="557" spans="1:8" s="71" customFormat="1" outlineLevel="2" x14ac:dyDescent="0.25">
      <c r="A557" s="68" t="s">
        <v>2433</v>
      </c>
      <c r="B557" s="68" t="s">
        <v>852</v>
      </c>
      <c r="C557" s="116" t="s">
        <v>853</v>
      </c>
      <c r="D557" s="117" t="s">
        <v>56</v>
      </c>
      <c r="E557" s="117">
        <f>HIDROSANITÁRIO!C120</f>
        <v>13</v>
      </c>
      <c r="F557" s="201">
        <v>161.38</v>
      </c>
      <c r="G557" s="201">
        <f t="shared" si="190"/>
        <v>204.516874</v>
      </c>
      <c r="H557" s="201">
        <f t="shared" si="191"/>
        <v>2658.71</v>
      </c>
    </row>
    <row r="558" spans="1:8" s="71" customFormat="1" ht="78.75" outlineLevel="2" x14ac:dyDescent="0.25">
      <c r="A558" s="68" t="s">
        <v>2434</v>
      </c>
      <c r="B558" s="68" t="s">
        <v>2845</v>
      </c>
      <c r="C558" s="116" t="s">
        <v>678</v>
      </c>
      <c r="D558" s="117" t="s">
        <v>56</v>
      </c>
      <c r="E558" s="117">
        <f>HIDROSANITÁRIO!C121</f>
        <v>1</v>
      </c>
      <c r="F558" s="201">
        <v>170.58</v>
      </c>
      <c r="G558" s="201">
        <f t="shared" si="190"/>
        <v>216.17603400000004</v>
      </c>
      <c r="H558" s="201">
        <f t="shared" si="191"/>
        <v>216.17</v>
      </c>
    </row>
    <row r="559" spans="1:8" s="71" customFormat="1" ht="47.25" outlineLevel="2" x14ac:dyDescent="0.25">
      <c r="A559" s="68" t="s">
        <v>2435</v>
      </c>
      <c r="B559" s="68" t="s">
        <v>858</v>
      </c>
      <c r="C559" s="116" t="s">
        <v>859</v>
      </c>
      <c r="D559" s="117" t="s">
        <v>56</v>
      </c>
      <c r="E559" s="117">
        <f>HIDROSANITÁRIO!C122</f>
        <v>1</v>
      </c>
      <c r="F559" s="201">
        <v>386.77</v>
      </c>
      <c r="G559" s="201">
        <f t="shared" si="190"/>
        <v>490.15362099999999</v>
      </c>
      <c r="H559" s="201">
        <f t="shared" si="191"/>
        <v>490.15</v>
      </c>
    </row>
    <row r="560" spans="1:8" s="71" customFormat="1" outlineLevel="1" x14ac:dyDescent="0.25">
      <c r="A560" s="79"/>
      <c r="B560" s="79"/>
      <c r="C560" s="119" t="s">
        <v>14</v>
      </c>
      <c r="D560" s="79"/>
      <c r="E560" s="81"/>
      <c r="F560" s="203"/>
      <c r="G560" s="218"/>
      <c r="H560" s="218">
        <f>SUM(H554:H559)</f>
        <v>24150.339999999997</v>
      </c>
    </row>
    <row r="561" spans="1:8" s="71" customFormat="1" outlineLevel="1" x14ac:dyDescent="0.25">
      <c r="A561" s="170" t="s">
        <v>419</v>
      </c>
      <c r="B561" s="68"/>
      <c r="C561" s="178" t="s">
        <v>325</v>
      </c>
      <c r="D561" s="117"/>
      <c r="E561" s="117"/>
      <c r="F561" s="200"/>
      <c r="G561" s="201"/>
      <c r="H561" s="201"/>
    </row>
    <row r="562" spans="1:8" s="71" customFormat="1" ht="78.75" outlineLevel="2" x14ac:dyDescent="0.25">
      <c r="A562" s="68" t="s">
        <v>420</v>
      </c>
      <c r="B562" s="68">
        <v>86942</v>
      </c>
      <c r="C562" s="69" t="s">
        <v>678</v>
      </c>
      <c r="D562" s="117" t="s">
        <v>5</v>
      </c>
      <c r="E562" s="117">
        <f>HIDROSANITÁRIO!C125</f>
        <v>2</v>
      </c>
      <c r="F562" s="201">
        <v>170.58</v>
      </c>
      <c r="G562" s="201">
        <f t="shared" ref="G562:G567" si="194">F562*(1+$E$2)</f>
        <v>216.17603400000004</v>
      </c>
      <c r="H562" s="201">
        <f t="shared" ref="H562:H567" si="195">TRUNC((G562*E562),2)</f>
        <v>432.35</v>
      </c>
    </row>
    <row r="563" spans="1:8" s="71" customFormat="1" ht="47.25" outlineLevel="2" x14ac:dyDescent="0.25">
      <c r="A563" s="68" t="s">
        <v>1076</v>
      </c>
      <c r="B563" s="68">
        <v>86931</v>
      </c>
      <c r="C563" s="69" t="s">
        <v>679</v>
      </c>
      <c r="D563" s="117" t="s">
        <v>5</v>
      </c>
      <c r="E563" s="117">
        <f>HIDROSANITÁRIO!C126</f>
        <v>2</v>
      </c>
      <c r="F563" s="201">
        <v>345.75</v>
      </c>
      <c r="G563" s="201">
        <f t="shared" si="194"/>
        <v>438.16897500000005</v>
      </c>
      <c r="H563" s="201">
        <f t="shared" si="195"/>
        <v>876.33</v>
      </c>
    </row>
    <row r="564" spans="1:8" s="71" customFormat="1" ht="31.5" outlineLevel="2" x14ac:dyDescent="0.25">
      <c r="A564" s="68" t="s">
        <v>1077</v>
      </c>
      <c r="B564" s="68">
        <v>95544</v>
      </c>
      <c r="C564" s="116" t="s">
        <v>681</v>
      </c>
      <c r="D564" s="117" t="s">
        <v>5</v>
      </c>
      <c r="E564" s="117">
        <f>HIDROSANITÁRIO!C127</f>
        <v>2</v>
      </c>
      <c r="F564" s="201">
        <v>29.2</v>
      </c>
      <c r="G564" s="201">
        <f t="shared" si="194"/>
        <v>37.005160000000004</v>
      </c>
      <c r="H564" s="201">
        <f t="shared" si="195"/>
        <v>74.010000000000005</v>
      </c>
    </row>
    <row r="565" spans="1:8" s="71" customFormat="1" ht="31.5" outlineLevel="2" x14ac:dyDescent="0.25">
      <c r="A565" s="68" t="s">
        <v>1078</v>
      </c>
      <c r="B565" s="68">
        <v>9535</v>
      </c>
      <c r="C565" s="116" t="s">
        <v>677</v>
      </c>
      <c r="D565" s="117" t="s">
        <v>5</v>
      </c>
      <c r="E565" s="117">
        <f>HIDROSANITÁRIO!C128</f>
        <v>2</v>
      </c>
      <c r="F565" s="201">
        <v>63.66</v>
      </c>
      <c r="G565" s="201">
        <f t="shared" si="194"/>
        <v>80.676317999999995</v>
      </c>
      <c r="H565" s="201">
        <f t="shared" si="195"/>
        <v>161.35</v>
      </c>
    </row>
    <row r="566" spans="1:8" s="71" customFormat="1" ht="31.5" outlineLevel="2" x14ac:dyDescent="0.25">
      <c r="A566" s="68" t="s">
        <v>2250</v>
      </c>
      <c r="B566" s="68" t="s">
        <v>817</v>
      </c>
      <c r="C566" s="69" t="s">
        <v>818</v>
      </c>
      <c r="D566" s="117" t="s">
        <v>5</v>
      </c>
      <c r="E566" s="117">
        <f>HIDROSANITÁRIO!C129</f>
        <v>2</v>
      </c>
      <c r="F566" s="201">
        <v>48.08</v>
      </c>
      <c r="G566" s="201">
        <f t="shared" si="194"/>
        <v>60.931784</v>
      </c>
      <c r="H566" s="201">
        <f t="shared" si="195"/>
        <v>121.86</v>
      </c>
    </row>
    <row r="567" spans="1:8" s="71" customFormat="1" ht="47.25" outlineLevel="2" x14ac:dyDescent="0.25">
      <c r="A567" s="68" t="s">
        <v>1079</v>
      </c>
      <c r="B567" s="68">
        <v>95547</v>
      </c>
      <c r="C567" s="69" t="s">
        <v>682</v>
      </c>
      <c r="D567" s="117" t="s">
        <v>5</v>
      </c>
      <c r="E567" s="117">
        <f>HIDROSANITÁRIO!C130</f>
        <v>2</v>
      </c>
      <c r="F567" s="201">
        <v>42.65</v>
      </c>
      <c r="G567" s="201">
        <f t="shared" si="194"/>
        <v>54.050345</v>
      </c>
      <c r="H567" s="201">
        <f t="shared" si="195"/>
        <v>108.1</v>
      </c>
    </row>
    <row r="568" spans="1:8" s="71" customFormat="1" outlineLevel="1" x14ac:dyDescent="0.25">
      <c r="A568" s="79"/>
      <c r="B568" s="79"/>
      <c r="C568" s="119" t="s">
        <v>14</v>
      </c>
      <c r="D568" s="79"/>
      <c r="E568" s="81"/>
      <c r="F568" s="203"/>
      <c r="G568" s="218"/>
      <c r="H568" s="218">
        <f>SUM(H562:H567)</f>
        <v>1773.9999999999998</v>
      </c>
    </row>
    <row r="569" spans="1:8" s="71" customFormat="1" outlineLevel="1" x14ac:dyDescent="0.25">
      <c r="A569" s="170" t="s">
        <v>967</v>
      </c>
      <c r="B569" s="68"/>
      <c r="C569" s="178" t="s">
        <v>201</v>
      </c>
      <c r="D569" s="117"/>
      <c r="E569" s="117"/>
      <c r="F569" s="200"/>
      <c r="G569" s="201"/>
      <c r="H569" s="201"/>
    </row>
    <row r="570" spans="1:8" s="278" customFormat="1" ht="94.5" outlineLevel="2" x14ac:dyDescent="0.25">
      <c r="A570" s="226" t="s">
        <v>1080</v>
      </c>
      <c r="B570" s="226" t="s">
        <v>2692</v>
      </c>
      <c r="C570" s="164" t="s">
        <v>2850</v>
      </c>
      <c r="D570" s="165" t="s">
        <v>56</v>
      </c>
      <c r="E570" s="117">
        <f>HIDROSANITÁRIO!C133</f>
        <v>4</v>
      </c>
      <c r="F570" s="201">
        <v>668.18</v>
      </c>
      <c r="G570" s="221">
        <f t="shared" ref="G570:G578" si="196">F570*(1+$E$2)</f>
        <v>846.78451399999994</v>
      </c>
      <c r="H570" s="221">
        <f t="shared" ref="H570:H579" si="197">TRUNC((G570*E570),2)</f>
        <v>3387.13</v>
      </c>
    </row>
    <row r="571" spans="1:8" s="71" customFormat="1" ht="47.25" outlineLevel="2" x14ac:dyDescent="0.25">
      <c r="A571" s="226" t="s">
        <v>1081</v>
      </c>
      <c r="B571" s="68" t="s">
        <v>862</v>
      </c>
      <c r="C571" s="116" t="s">
        <v>863</v>
      </c>
      <c r="D571" s="117" t="s">
        <v>56</v>
      </c>
      <c r="E571" s="117">
        <f>HIDROSANITÁRIO!C133</f>
        <v>4</v>
      </c>
      <c r="F571" s="201">
        <v>550.98</v>
      </c>
      <c r="G571" s="201">
        <f t="shared" si="196"/>
        <v>698.25695400000006</v>
      </c>
      <c r="H571" s="221">
        <f t="shared" si="197"/>
        <v>2793.02</v>
      </c>
    </row>
    <row r="572" spans="1:8" s="71" customFormat="1" ht="63" outlineLevel="2" x14ac:dyDescent="0.25">
      <c r="A572" s="226" t="s">
        <v>1082</v>
      </c>
      <c r="B572" s="68" t="s">
        <v>2851</v>
      </c>
      <c r="C572" s="116" t="s">
        <v>860</v>
      </c>
      <c r="D572" s="117" t="s">
        <v>56</v>
      </c>
      <c r="E572" s="117">
        <f>HIDROSANITÁRIO!C134</f>
        <v>4</v>
      </c>
      <c r="F572" s="201">
        <v>596.41999999999996</v>
      </c>
      <c r="G572" s="201">
        <f t="shared" si="196"/>
        <v>755.84306600000002</v>
      </c>
      <c r="H572" s="221">
        <f t="shared" si="197"/>
        <v>3023.37</v>
      </c>
    </row>
    <row r="573" spans="1:8" s="71" customFormat="1" ht="47.25" outlineLevel="2" x14ac:dyDescent="0.25">
      <c r="A573" s="226" t="s">
        <v>1540</v>
      </c>
      <c r="B573" s="68" t="s">
        <v>2139</v>
      </c>
      <c r="C573" s="164" t="s">
        <v>2140</v>
      </c>
      <c r="D573" s="117" t="s">
        <v>56</v>
      </c>
      <c r="E573" s="117">
        <f>HIDROSANITÁRIO!C135</f>
        <v>4</v>
      </c>
      <c r="F573" s="201">
        <v>582.16</v>
      </c>
      <c r="G573" s="201">
        <f t="shared" ref="G573" si="198">F573*(1+$E$2)</f>
        <v>737.77136800000005</v>
      </c>
      <c r="H573" s="221">
        <f t="shared" si="197"/>
        <v>2951.08</v>
      </c>
    </row>
    <row r="574" spans="1:8" s="71" customFormat="1" ht="31.5" outlineLevel="2" x14ac:dyDescent="0.25">
      <c r="A574" s="226" t="s">
        <v>1541</v>
      </c>
      <c r="B574" s="68" t="s">
        <v>861</v>
      </c>
      <c r="C574" s="116" t="s">
        <v>2852</v>
      </c>
      <c r="D574" s="117" t="s">
        <v>56</v>
      </c>
      <c r="E574" s="117">
        <f>HIDROSANITÁRIO!C136</f>
        <v>4</v>
      </c>
      <c r="F574" s="201">
        <v>78.91</v>
      </c>
      <c r="G574" s="201">
        <f t="shared" si="196"/>
        <v>100.00264300000001</v>
      </c>
      <c r="H574" s="221">
        <f t="shared" si="197"/>
        <v>400.01</v>
      </c>
    </row>
    <row r="575" spans="1:8" s="71" customFormat="1" ht="31.5" outlineLevel="2" x14ac:dyDescent="0.25">
      <c r="A575" s="226" t="s">
        <v>1542</v>
      </c>
      <c r="B575" s="68" t="s">
        <v>2842</v>
      </c>
      <c r="C575" s="69" t="s">
        <v>681</v>
      </c>
      <c r="D575" s="117" t="s">
        <v>56</v>
      </c>
      <c r="E575" s="117">
        <f>HIDROSANITÁRIO!C137</f>
        <v>4</v>
      </c>
      <c r="F575" s="201">
        <v>29.2</v>
      </c>
      <c r="G575" s="201">
        <f t="shared" si="196"/>
        <v>37.005160000000004</v>
      </c>
      <c r="H575" s="221">
        <f t="shared" si="197"/>
        <v>148.02000000000001</v>
      </c>
    </row>
    <row r="576" spans="1:8" s="71" customFormat="1" ht="31.5" outlineLevel="2" x14ac:dyDescent="0.25">
      <c r="A576" s="226" t="s">
        <v>2436</v>
      </c>
      <c r="B576" s="68" t="s">
        <v>817</v>
      </c>
      <c r="C576" s="69" t="s">
        <v>818</v>
      </c>
      <c r="D576" s="117" t="s">
        <v>56</v>
      </c>
      <c r="E576" s="117">
        <f>HIDROSANITÁRIO!C138</f>
        <v>4</v>
      </c>
      <c r="F576" s="201">
        <v>48.08</v>
      </c>
      <c r="G576" s="201">
        <f t="shared" si="196"/>
        <v>60.931784</v>
      </c>
      <c r="H576" s="221">
        <f t="shared" si="197"/>
        <v>243.72</v>
      </c>
    </row>
    <row r="577" spans="1:8" s="71" customFormat="1" ht="31.5" outlineLevel="2" x14ac:dyDescent="0.25">
      <c r="A577" s="226" t="s">
        <v>2437</v>
      </c>
      <c r="B577" s="68" t="s">
        <v>2844</v>
      </c>
      <c r="C577" s="116" t="s">
        <v>677</v>
      </c>
      <c r="D577" s="117" t="s">
        <v>56</v>
      </c>
      <c r="E577" s="117">
        <f>HIDROSANITÁRIO!C139</f>
        <v>2</v>
      </c>
      <c r="F577" s="201">
        <v>63.66</v>
      </c>
      <c r="G577" s="201">
        <f t="shared" si="196"/>
        <v>80.676317999999995</v>
      </c>
      <c r="H577" s="221">
        <f t="shared" si="197"/>
        <v>161.35</v>
      </c>
    </row>
    <row r="578" spans="1:8" s="71" customFormat="1" ht="47.25" outlineLevel="2" x14ac:dyDescent="0.25">
      <c r="A578" s="226" t="s">
        <v>2438</v>
      </c>
      <c r="B578" s="68" t="s">
        <v>2843</v>
      </c>
      <c r="C578" s="69" t="s">
        <v>682</v>
      </c>
      <c r="D578" s="117" t="s">
        <v>56</v>
      </c>
      <c r="E578" s="117">
        <f>HIDROSANITÁRIO!C140</f>
        <v>4</v>
      </c>
      <c r="F578" s="201">
        <v>42.65</v>
      </c>
      <c r="G578" s="201">
        <f t="shared" si="196"/>
        <v>54.050345</v>
      </c>
      <c r="H578" s="221">
        <f t="shared" si="197"/>
        <v>216.2</v>
      </c>
    </row>
    <row r="579" spans="1:8" s="71" customFormat="1" ht="47.25" outlineLevel="2" x14ac:dyDescent="0.25">
      <c r="A579" s="226" t="s">
        <v>2439</v>
      </c>
      <c r="B579" s="226" t="s">
        <v>2853</v>
      </c>
      <c r="C579" s="164" t="s">
        <v>2552</v>
      </c>
      <c r="D579" s="117" t="s">
        <v>56</v>
      </c>
      <c r="E579" s="117">
        <f>HIDROSANITÁRIO!C141</f>
        <v>2</v>
      </c>
      <c r="F579" s="201">
        <v>228.65</v>
      </c>
      <c r="G579" s="201">
        <f>F579*(1+$E$2)</f>
        <v>289.768145</v>
      </c>
      <c r="H579" s="221">
        <f t="shared" si="197"/>
        <v>579.53</v>
      </c>
    </row>
    <row r="580" spans="1:8" s="71" customFormat="1" outlineLevel="1" x14ac:dyDescent="0.25">
      <c r="A580" s="79"/>
      <c r="B580" s="122"/>
      <c r="C580" s="119" t="s">
        <v>14</v>
      </c>
      <c r="D580" s="79"/>
      <c r="E580" s="81"/>
      <c r="F580" s="203"/>
      <c r="G580" s="218"/>
      <c r="H580" s="218">
        <f>SUM(H570:H579)</f>
        <v>13903.430000000002</v>
      </c>
    </row>
    <row r="581" spans="1:8" s="71" customFormat="1" outlineLevel="1" x14ac:dyDescent="0.25">
      <c r="A581" s="173" t="s">
        <v>968</v>
      </c>
      <c r="B581" s="173"/>
      <c r="C581" s="179" t="s">
        <v>199</v>
      </c>
      <c r="D581" s="173"/>
      <c r="E581" s="176"/>
      <c r="F581" s="206"/>
      <c r="G581" s="219"/>
      <c r="H581" s="206"/>
    </row>
    <row r="582" spans="1:8" s="71" customFormat="1" ht="47.25" outlineLevel="2" x14ac:dyDescent="0.25">
      <c r="A582" s="68" t="s">
        <v>1083</v>
      </c>
      <c r="B582" s="68">
        <v>89685</v>
      </c>
      <c r="C582" s="116" t="s">
        <v>3063</v>
      </c>
      <c r="D582" s="68" t="s">
        <v>56</v>
      </c>
      <c r="E582" s="70">
        <f>HIDROSANITÁRIO!C144</f>
        <v>4</v>
      </c>
      <c r="F582" s="201">
        <v>28.13</v>
      </c>
      <c r="G582" s="201">
        <f t="shared" ref="G582:G609" si="199">F582*(1+$E$2)</f>
        <v>35.649149000000001</v>
      </c>
      <c r="H582" s="201">
        <f t="shared" ref="H582:H609" si="200">TRUNC((G582*E582),2)</f>
        <v>142.59</v>
      </c>
    </row>
    <row r="583" spans="1:8" s="71" customFormat="1" ht="31.5" outlineLevel="2" x14ac:dyDescent="0.25">
      <c r="A583" s="68" t="s">
        <v>1084</v>
      </c>
      <c r="B583" s="68" t="s">
        <v>683</v>
      </c>
      <c r="C583" s="116" t="s">
        <v>684</v>
      </c>
      <c r="D583" s="68" t="s">
        <v>56</v>
      </c>
      <c r="E583" s="70">
        <f>HIDROSANITÁRIO!C145</f>
        <v>2</v>
      </c>
      <c r="F583" s="201">
        <v>142.13</v>
      </c>
      <c r="G583" s="201">
        <f t="shared" si="199"/>
        <v>180.12134900000001</v>
      </c>
      <c r="H583" s="201">
        <f t="shared" si="200"/>
        <v>360.24</v>
      </c>
    </row>
    <row r="584" spans="1:8" s="71" customFormat="1" ht="78.75" outlineLevel="2" x14ac:dyDescent="0.25">
      <c r="A584" s="68" t="s">
        <v>1085</v>
      </c>
      <c r="B584" s="68" t="s">
        <v>685</v>
      </c>
      <c r="C584" s="116" t="s">
        <v>686</v>
      </c>
      <c r="D584" s="68" t="s">
        <v>56</v>
      </c>
      <c r="E584" s="70">
        <f>HIDROSANITÁRIO!C146</f>
        <v>5</v>
      </c>
      <c r="F584" s="201">
        <v>127.19</v>
      </c>
      <c r="G584" s="201">
        <f t="shared" si="199"/>
        <v>161.18788700000002</v>
      </c>
      <c r="H584" s="201">
        <f t="shared" si="200"/>
        <v>805.93</v>
      </c>
    </row>
    <row r="585" spans="1:8" s="71" customFormat="1" outlineLevel="2" x14ac:dyDescent="0.25">
      <c r="A585" s="68" t="s">
        <v>2251</v>
      </c>
      <c r="B585" s="68" t="s">
        <v>2854</v>
      </c>
      <c r="C585" s="116" t="s">
        <v>687</v>
      </c>
      <c r="D585" s="68" t="s">
        <v>56</v>
      </c>
      <c r="E585" s="70">
        <f>HIDROSANITÁRIO!C147</f>
        <v>13</v>
      </c>
      <c r="F585" s="201">
        <v>320.79000000000002</v>
      </c>
      <c r="G585" s="201">
        <f t="shared" si="199"/>
        <v>406.53716700000007</v>
      </c>
      <c r="H585" s="201">
        <f t="shared" si="200"/>
        <v>5284.98</v>
      </c>
    </row>
    <row r="586" spans="1:8" s="71" customFormat="1" ht="47.25" outlineLevel="2" x14ac:dyDescent="0.25">
      <c r="A586" s="68" t="s">
        <v>2252</v>
      </c>
      <c r="B586" s="68" t="s">
        <v>2855</v>
      </c>
      <c r="C586" s="116" t="s">
        <v>688</v>
      </c>
      <c r="D586" s="68" t="s">
        <v>56</v>
      </c>
      <c r="E586" s="70">
        <f>HIDROSANITÁRIO!C148</f>
        <v>13</v>
      </c>
      <c r="F586" s="201">
        <v>16.239999999999998</v>
      </c>
      <c r="G586" s="201">
        <f t="shared" si="199"/>
        <v>20.580952</v>
      </c>
      <c r="H586" s="201">
        <f t="shared" si="200"/>
        <v>267.55</v>
      </c>
    </row>
    <row r="587" spans="1:8" s="71" customFormat="1" ht="31.5" outlineLevel="2" x14ac:dyDescent="0.25">
      <c r="A587" s="68" t="s">
        <v>2253</v>
      </c>
      <c r="B587" s="68" t="s">
        <v>864</v>
      </c>
      <c r="C587" s="116" t="s">
        <v>865</v>
      </c>
      <c r="D587" s="68" t="s">
        <v>56</v>
      </c>
      <c r="E587" s="70">
        <f>HIDROSANITÁRIO!C149</f>
        <v>16</v>
      </c>
      <c r="F587" s="201">
        <v>36.96</v>
      </c>
      <c r="G587" s="201">
        <f t="shared" si="199"/>
        <v>46.839408000000006</v>
      </c>
      <c r="H587" s="201">
        <f t="shared" si="200"/>
        <v>749.43</v>
      </c>
    </row>
    <row r="588" spans="1:8" s="71" customFormat="1" ht="47.25" outlineLevel="2" x14ac:dyDescent="0.25">
      <c r="A588" s="68" t="s">
        <v>2254</v>
      </c>
      <c r="B588" s="68">
        <v>89825</v>
      </c>
      <c r="C588" s="116" t="s">
        <v>705</v>
      </c>
      <c r="D588" s="68" t="s">
        <v>56</v>
      </c>
      <c r="E588" s="70">
        <f>HIDROSANITÁRIO!C150</f>
        <v>10</v>
      </c>
      <c r="F588" s="221">
        <v>11.27</v>
      </c>
      <c r="G588" s="201">
        <f t="shared" si="199"/>
        <v>14.282471000000001</v>
      </c>
      <c r="H588" s="201">
        <f t="shared" si="200"/>
        <v>142.82</v>
      </c>
    </row>
    <row r="589" spans="1:8" s="71" customFormat="1" ht="47.25" outlineLevel="2" x14ac:dyDescent="0.25">
      <c r="A589" s="68" t="s">
        <v>2255</v>
      </c>
      <c r="B589" s="68" t="s">
        <v>2856</v>
      </c>
      <c r="C589" s="116" t="s">
        <v>2857</v>
      </c>
      <c r="D589" s="68" t="s">
        <v>56</v>
      </c>
      <c r="E589" s="70">
        <f>HIDROSANITÁRIO!C151</f>
        <v>18</v>
      </c>
      <c r="F589" s="201">
        <v>18.14</v>
      </c>
      <c r="G589" s="201">
        <f t="shared" si="199"/>
        <v>22.988822000000003</v>
      </c>
      <c r="H589" s="201">
        <f t="shared" si="200"/>
        <v>413.79</v>
      </c>
    </row>
    <row r="590" spans="1:8" s="71" customFormat="1" ht="63" outlineLevel="2" x14ac:dyDescent="0.25">
      <c r="A590" s="68" t="s">
        <v>2256</v>
      </c>
      <c r="B590" s="68" t="s">
        <v>2858</v>
      </c>
      <c r="C590" s="116" t="s">
        <v>866</v>
      </c>
      <c r="D590" s="68" t="s">
        <v>56</v>
      </c>
      <c r="E590" s="70">
        <f>HIDROSANITÁRIO!C152</f>
        <v>31</v>
      </c>
      <c r="F590" s="221">
        <v>5.69</v>
      </c>
      <c r="G590" s="201">
        <f t="shared" si="199"/>
        <v>7.2109370000000013</v>
      </c>
      <c r="H590" s="201">
        <f t="shared" si="200"/>
        <v>223.53</v>
      </c>
    </row>
    <row r="591" spans="1:8" s="71" customFormat="1" ht="63" outlineLevel="2" x14ac:dyDescent="0.25">
      <c r="A591" s="68" t="s">
        <v>2257</v>
      </c>
      <c r="B591" s="68" t="s">
        <v>2859</v>
      </c>
      <c r="C591" s="116" t="s">
        <v>867</v>
      </c>
      <c r="D591" s="68" t="s">
        <v>56</v>
      </c>
      <c r="E591" s="70">
        <f>HIDROSANITÁRIO!C153</f>
        <v>6</v>
      </c>
      <c r="F591" s="201">
        <v>14.96</v>
      </c>
      <c r="G591" s="201">
        <f t="shared" si="199"/>
        <v>18.958808000000001</v>
      </c>
      <c r="H591" s="201">
        <f t="shared" si="200"/>
        <v>113.75</v>
      </c>
    </row>
    <row r="592" spans="1:8" s="71" customFormat="1" ht="63" outlineLevel="2" x14ac:dyDescent="0.25">
      <c r="A592" s="68" t="s">
        <v>2440</v>
      </c>
      <c r="B592" s="68" t="s">
        <v>2860</v>
      </c>
      <c r="C592" s="116" t="s">
        <v>868</v>
      </c>
      <c r="D592" s="68" t="s">
        <v>56</v>
      </c>
      <c r="E592" s="70">
        <f>HIDROSANITÁRIO!C154</f>
        <v>3</v>
      </c>
      <c r="F592" s="201">
        <v>6.68</v>
      </c>
      <c r="G592" s="201">
        <f t="shared" si="199"/>
        <v>8.4655640000000005</v>
      </c>
      <c r="H592" s="201">
        <f t="shared" si="200"/>
        <v>25.39</v>
      </c>
    </row>
    <row r="593" spans="1:8" s="71" customFormat="1" ht="63" outlineLevel="2" x14ac:dyDescent="0.25">
      <c r="A593" s="68" t="s">
        <v>2441</v>
      </c>
      <c r="B593" s="68" t="s">
        <v>2861</v>
      </c>
      <c r="C593" s="116" t="s">
        <v>689</v>
      </c>
      <c r="D593" s="68" t="s">
        <v>56</v>
      </c>
      <c r="E593" s="70">
        <f>HIDROSANITÁRIO!C155</f>
        <v>23</v>
      </c>
      <c r="F593" s="201">
        <v>26.44</v>
      </c>
      <c r="G593" s="201">
        <f t="shared" si="199"/>
        <v>33.507412000000002</v>
      </c>
      <c r="H593" s="201">
        <f t="shared" si="200"/>
        <v>770.67</v>
      </c>
    </row>
    <row r="594" spans="1:8" s="71" customFormat="1" ht="63" outlineLevel="2" x14ac:dyDescent="0.25">
      <c r="A594" s="68" t="s">
        <v>2442</v>
      </c>
      <c r="B594" s="68" t="s">
        <v>2862</v>
      </c>
      <c r="C594" s="116" t="s">
        <v>690</v>
      </c>
      <c r="D594" s="68" t="s">
        <v>56</v>
      </c>
      <c r="E594" s="70">
        <f>HIDROSANITÁRIO!C156</f>
        <v>26</v>
      </c>
      <c r="F594" s="201">
        <v>7.45</v>
      </c>
      <c r="G594" s="201">
        <f t="shared" si="199"/>
        <v>9.4413850000000004</v>
      </c>
      <c r="H594" s="201">
        <f t="shared" si="200"/>
        <v>245.47</v>
      </c>
    </row>
    <row r="595" spans="1:8" s="71" customFormat="1" ht="63" outlineLevel="2" x14ac:dyDescent="0.25">
      <c r="A595" s="68" t="s">
        <v>2443</v>
      </c>
      <c r="B595" s="68" t="s">
        <v>2863</v>
      </c>
      <c r="C595" s="116" t="s">
        <v>703</v>
      </c>
      <c r="D595" s="68" t="s">
        <v>56</v>
      </c>
      <c r="E595" s="70">
        <f>HIDROSANITÁRIO!C157</f>
        <v>27</v>
      </c>
      <c r="F595" s="201">
        <v>7.86</v>
      </c>
      <c r="G595" s="201">
        <f t="shared" si="199"/>
        <v>9.9609780000000008</v>
      </c>
      <c r="H595" s="201">
        <f t="shared" si="200"/>
        <v>268.94</v>
      </c>
    </row>
    <row r="596" spans="1:8" s="71" customFormat="1" ht="63" outlineLevel="2" x14ac:dyDescent="0.25">
      <c r="A596" s="68" t="s">
        <v>2444</v>
      </c>
      <c r="B596" s="68" t="s">
        <v>2864</v>
      </c>
      <c r="C596" s="116" t="s">
        <v>691</v>
      </c>
      <c r="D596" s="68" t="s">
        <v>56</v>
      </c>
      <c r="E596" s="70">
        <f>HIDROSANITÁRIO!C158</f>
        <v>6</v>
      </c>
      <c r="F596" s="201">
        <v>10.46</v>
      </c>
      <c r="G596" s="201">
        <f t="shared" si="199"/>
        <v>13.255958000000001</v>
      </c>
      <c r="H596" s="201">
        <f t="shared" si="200"/>
        <v>79.53</v>
      </c>
    </row>
    <row r="597" spans="1:8" s="71" customFormat="1" ht="47.25" outlineLevel="2" x14ac:dyDescent="0.25">
      <c r="A597" s="68" t="s">
        <v>2445</v>
      </c>
      <c r="B597" s="68" t="s">
        <v>2865</v>
      </c>
      <c r="C597" s="116" t="s">
        <v>692</v>
      </c>
      <c r="D597" s="68" t="s">
        <v>56</v>
      </c>
      <c r="E597" s="70">
        <f>HIDROSANITÁRIO!C159</f>
        <v>17</v>
      </c>
      <c r="F597" s="201">
        <v>18.059999999999999</v>
      </c>
      <c r="G597" s="201">
        <f t="shared" si="199"/>
        <v>22.887438</v>
      </c>
      <c r="H597" s="201">
        <f t="shared" si="200"/>
        <v>389.08</v>
      </c>
    </row>
    <row r="598" spans="1:8" s="71" customFormat="1" ht="63" outlineLevel="2" x14ac:dyDescent="0.25">
      <c r="A598" s="68" t="s">
        <v>2446</v>
      </c>
      <c r="B598" s="68" t="s">
        <v>2866</v>
      </c>
      <c r="C598" s="116" t="s">
        <v>693</v>
      </c>
      <c r="D598" s="68" t="s">
        <v>56</v>
      </c>
      <c r="E598" s="70">
        <f>HIDROSANITÁRIO!C160</f>
        <v>26</v>
      </c>
      <c r="F598" s="221">
        <v>5.7</v>
      </c>
      <c r="G598" s="201">
        <f t="shared" si="199"/>
        <v>7.2236100000000008</v>
      </c>
      <c r="H598" s="201">
        <f t="shared" si="200"/>
        <v>187.81</v>
      </c>
    </row>
    <row r="599" spans="1:8" s="71" customFormat="1" ht="31.5" outlineLevel="2" x14ac:dyDescent="0.25">
      <c r="A599" s="68" t="s">
        <v>2447</v>
      </c>
      <c r="B599" s="68" t="s">
        <v>819</v>
      </c>
      <c r="C599" s="116" t="s">
        <v>820</v>
      </c>
      <c r="D599" s="68" t="s">
        <v>56</v>
      </c>
      <c r="E599" s="70">
        <f>HIDROSANITÁRIO!C161</f>
        <v>24</v>
      </c>
      <c r="F599" s="201">
        <v>32.68</v>
      </c>
      <c r="G599" s="201">
        <f t="shared" si="199"/>
        <v>41.415364000000004</v>
      </c>
      <c r="H599" s="201">
        <f t="shared" si="200"/>
        <v>993.96</v>
      </c>
    </row>
    <row r="600" spans="1:8" s="71" customFormat="1" ht="63" outlineLevel="2" x14ac:dyDescent="0.25">
      <c r="A600" s="68" t="s">
        <v>2448</v>
      </c>
      <c r="B600" s="68" t="s">
        <v>2867</v>
      </c>
      <c r="C600" s="116" t="s">
        <v>694</v>
      </c>
      <c r="D600" s="68" t="s">
        <v>56</v>
      </c>
      <c r="E600" s="70">
        <f>HIDROSANITÁRIO!C162</f>
        <v>15</v>
      </c>
      <c r="F600" s="201">
        <v>36.21</v>
      </c>
      <c r="G600" s="201">
        <f t="shared" si="199"/>
        <v>45.888933000000002</v>
      </c>
      <c r="H600" s="201">
        <f t="shared" si="200"/>
        <v>688.33</v>
      </c>
    </row>
    <row r="601" spans="1:8" s="71" customFormat="1" ht="63" outlineLevel="2" x14ac:dyDescent="0.25">
      <c r="A601" s="68" t="s">
        <v>2449</v>
      </c>
      <c r="B601" s="68" t="s">
        <v>2868</v>
      </c>
      <c r="C601" s="69" t="s">
        <v>695</v>
      </c>
      <c r="D601" s="68" t="s">
        <v>56</v>
      </c>
      <c r="E601" s="70">
        <f>HIDROSANITÁRIO!C163</f>
        <v>7</v>
      </c>
      <c r="F601" s="201">
        <v>15.84</v>
      </c>
      <c r="G601" s="201">
        <f t="shared" si="199"/>
        <v>20.074032000000003</v>
      </c>
      <c r="H601" s="201">
        <f t="shared" si="200"/>
        <v>140.51</v>
      </c>
    </row>
    <row r="602" spans="1:8" s="71" customFormat="1" ht="31.5" outlineLevel="2" x14ac:dyDescent="0.25">
      <c r="A602" s="68" t="s">
        <v>2450</v>
      </c>
      <c r="B602" s="68" t="s">
        <v>869</v>
      </c>
      <c r="C602" s="69" t="s">
        <v>870</v>
      </c>
      <c r="D602" s="68" t="s">
        <v>56</v>
      </c>
      <c r="E602" s="70">
        <f>HIDROSANITÁRIO!C164</f>
        <v>1</v>
      </c>
      <c r="F602" s="201">
        <v>25.39</v>
      </c>
      <c r="G602" s="201">
        <f t="shared" si="199"/>
        <v>32.176747000000006</v>
      </c>
      <c r="H602" s="201">
        <f t="shared" si="200"/>
        <v>32.17</v>
      </c>
    </row>
    <row r="603" spans="1:8" s="71" customFormat="1" outlineLevel="2" x14ac:dyDescent="0.25">
      <c r="A603" s="68" t="s">
        <v>2451</v>
      </c>
      <c r="B603" s="68" t="s">
        <v>871</v>
      </c>
      <c r="C603" s="69" t="s">
        <v>2869</v>
      </c>
      <c r="D603" s="68" t="s">
        <v>56</v>
      </c>
      <c r="E603" s="70">
        <f>HIDROSANITÁRIO!C165</f>
        <v>6</v>
      </c>
      <c r="F603" s="201">
        <v>12.58</v>
      </c>
      <c r="G603" s="201">
        <f t="shared" si="199"/>
        <v>15.942634000000002</v>
      </c>
      <c r="H603" s="201">
        <f t="shared" si="200"/>
        <v>95.65</v>
      </c>
    </row>
    <row r="604" spans="1:8" s="71" customFormat="1" ht="47.25" outlineLevel="2" x14ac:dyDescent="0.25">
      <c r="A604" s="68" t="s">
        <v>2452</v>
      </c>
      <c r="B604" s="68" t="s">
        <v>2870</v>
      </c>
      <c r="C604" s="69" t="s">
        <v>696</v>
      </c>
      <c r="D604" s="68" t="s">
        <v>56</v>
      </c>
      <c r="E604" s="70">
        <f>HIDROSANITÁRIO!C166</f>
        <v>6</v>
      </c>
      <c r="F604" s="201">
        <v>9.18</v>
      </c>
      <c r="G604" s="201">
        <f t="shared" si="199"/>
        <v>11.633814000000001</v>
      </c>
      <c r="H604" s="201">
        <f t="shared" si="200"/>
        <v>69.8</v>
      </c>
    </row>
    <row r="605" spans="1:8" s="71" customFormat="1" ht="47.25" outlineLevel="2" x14ac:dyDescent="0.25">
      <c r="A605" s="68" t="s">
        <v>2453</v>
      </c>
      <c r="B605" s="68" t="s">
        <v>2871</v>
      </c>
      <c r="C605" s="71" t="s">
        <v>697</v>
      </c>
      <c r="D605" s="68" t="s">
        <v>99</v>
      </c>
      <c r="E605" s="70">
        <f>HIDROSANITÁRIO!C167</f>
        <v>251.1</v>
      </c>
      <c r="F605" s="201">
        <v>37.049999999999997</v>
      </c>
      <c r="G605" s="201">
        <f t="shared" si="199"/>
        <v>46.953465000000001</v>
      </c>
      <c r="H605" s="201">
        <f t="shared" si="200"/>
        <v>11790.01</v>
      </c>
    </row>
    <row r="606" spans="1:8" s="71" customFormat="1" ht="47.25" outlineLevel="2" x14ac:dyDescent="0.25">
      <c r="A606" s="68" t="s">
        <v>2454</v>
      </c>
      <c r="B606" s="68" t="s">
        <v>2872</v>
      </c>
      <c r="C606" s="71" t="s">
        <v>698</v>
      </c>
      <c r="D606" s="68" t="s">
        <v>99</v>
      </c>
      <c r="E606" s="70">
        <f>HIDROSANITÁRIO!C168</f>
        <v>83.23</v>
      </c>
      <c r="F606" s="201">
        <v>19.37</v>
      </c>
      <c r="G606" s="201">
        <f t="shared" si="199"/>
        <v>24.547601000000004</v>
      </c>
      <c r="H606" s="201">
        <f t="shared" si="200"/>
        <v>2043.09</v>
      </c>
    </row>
    <row r="607" spans="1:8" s="71" customFormat="1" ht="47.25" outlineLevel="2" x14ac:dyDescent="0.25">
      <c r="A607" s="68" t="s">
        <v>2455</v>
      </c>
      <c r="B607" s="68" t="s">
        <v>2873</v>
      </c>
      <c r="C607" s="71" t="s">
        <v>699</v>
      </c>
      <c r="D607" s="68" t="s">
        <v>99</v>
      </c>
      <c r="E607" s="70">
        <f>HIDROSANITÁRIO!C169</f>
        <v>25.11</v>
      </c>
      <c r="F607" s="201">
        <v>28.8</v>
      </c>
      <c r="G607" s="201">
        <f t="shared" si="199"/>
        <v>36.498240000000003</v>
      </c>
      <c r="H607" s="201">
        <f t="shared" si="200"/>
        <v>916.47</v>
      </c>
    </row>
    <row r="608" spans="1:8" s="71" customFormat="1" ht="47.25" outlineLevel="2" x14ac:dyDescent="0.25">
      <c r="A608" s="68" t="s">
        <v>2456</v>
      </c>
      <c r="B608" s="68" t="s">
        <v>2874</v>
      </c>
      <c r="C608" s="71" t="s">
        <v>700</v>
      </c>
      <c r="D608" s="68" t="s">
        <v>99</v>
      </c>
      <c r="E608" s="70">
        <f>HIDROSANITÁRIO!C170</f>
        <v>10.5</v>
      </c>
      <c r="F608" s="201">
        <v>35.74</v>
      </c>
      <c r="G608" s="201">
        <f t="shared" si="199"/>
        <v>45.293302000000004</v>
      </c>
      <c r="H608" s="201">
        <f t="shared" si="200"/>
        <v>475.57</v>
      </c>
    </row>
    <row r="609" spans="1:8" s="71" customFormat="1" ht="47.25" outlineLevel="2" x14ac:dyDescent="0.25">
      <c r="A609" s="68" t="s">
        <v>2457</v>
      </c>
      <c r="B609" s="68" t="s">
        <v>2875</v>
      </c>
      <c r="C609" s="116" t="s">
        <v>701</v>
      </c>
      <c r="D609" s="68" t="s">
        <v>99</v>
      </c>
      <c r="E609" s="70">
        <f>HIDROSANITÁRIO!C171</f>
        <v>25.47</v>
      </c>
      <c r="F609" s="201">
        <v>13.16</v>
      </c>
      <c r="G609" s="201">
        <f t="shared" si="199"/>
        <v>16.677668000000001</v>
      </c>
      <c r="H609" s="201">
        <f t="shared" si="200"/>
        <v>424.78</v>
      </c>
    </row>
    <row r="610" spans="1:8" s="71" customFormat="1" outlineLevel="1" x14ac:dyDescent="0.25">
      <c r="A610" s="79"/>
      <c r="B610" s="79"/>
      <c r="C610" s="119" t="s">
        <v>14</v>
      </c>
      <c r="D610" s="79"/>
      <c r="E610" s="81"/>
      <c r="F610" s="203"/>
      <c r="G610" s="218"/>
      <c r="H610" s="218">
        <f>SUM(H582:H609)</f>
        <v>28141.84</v>
      </c>
    </row>
    <row r="611" spans="1:8" s="71" customFormat="1" outlineLevel="1" x14ac:dyDescent="0.25">
      <c r="A611" s="170" t="s">
        <v>969</v>
      </c>
      <c r="B611" s="170"/>
      <c r="C611" s="178" t="s">
        <v>200</v>
      </c>
      <c r="D611" s="170"/>
      <c r="E611" s="446"/>
      <c r="F611" s="209"/>
      <c r="G611" s="201"/>
      <c r="H611" s="201"/>
    </row>
    <row r="612" spans="1:8" s="71" customFormat="1" ht="63" outlineLevel="2" x14ac:dyDescent="0.25">
      <c r="A612" s="68" t="s">
        <v>1086</v>
      </c>
      <c r="B612" s="68" t="s">
        <v>2876</v>
      </c>
      <c r="C612" s="116" t="s">
        <v>702</v>
      </c>
      <c r="D612" s="68" t="s">
        <v>56</v>
      </c>
      <c r="E612" s="70">
        <f>HIDROSANITÁRIO!C174</f>
        <v>2</v>
      </c>
      <c r="F612" s="201">
        <v>10.06</v>
      </c>
      <c r="G612" s="201">
        <f t="shared" ref="G612:G617" si="201">F612*(1+$E$2)</f>
        <v>12.749038000000002</v>
      </c>
      <c r="H612" s="201">
        <f t="shared" ref="H612:H617" si="202">TRUNC((G612*E612),2)</f>
        <v>25.49</v>
      </c>
    </row>
    <row r="613" spans="1:8" s="71" customFormat="1" ht="63" outlineLevel="2" x14ac:dyDescent="0.25">
      <c r="A613" s="68" t="s">
        <v>1087</v>
      </c>
      <c r="B613" s="68" t="s">
        <v>2863</v>
      </c>
      <c r="C613" s="116" t="s">
        <v>703</v>
      </c>
      <c r="D613" s="68" t="s">
        <v>56</v>
      </c>
      <c r="E613" s="70">
        <f>HIDROSANITÁRIO!C175</f>
        <v>24</v>
      </c>
      <c r="F613" s="201">
        <v>7.86</v>
      </c>
      <c r="G613" s="201">
        <f t="shared" si="201"/>
        <v>9.9609780000000008</v>
      </c>
      <c r="H613" s="201">
        <f t="shared" si="202"/>
        <v>239.06</v>
      </c>
    </row>
    <row r="614" spans="1:8" s="71" customFormat="1" ht="63" outlineLevel="2" x14ac:dyDescent="0.25">
      <c r="A614" s="68" t="s">
        <v>1088</v>
      </c>
      <c r="B614" s="68" t="s">
        <v>2868</v>
      </c>
      <c r="C614" s="69" t="s">
        <v>695</v>
      </c>
      <c r="D614" s="68" t="s">
        <v>56</v>
      </c>
      <c r="E614" s="70">
        <f>HIDROSANITÁRIO!C176</f>
        <v>2</v>
      </c>
      <c r="F614" s="201">
        <v>15.84</v>
      </c>
      <c r="G614" s="201">
        <f t="shared" si="201"/>
        <v>20.074032000000003</v>
      </c>
      <c r="H614" s="201">
        <f t="shared" si="202"/>
        <v>40.14</v>
      </c>
    </row>
    <row r="615" spans="1:8" s="71" customFormat="1" ht="31.5" outlineLevel="2" x14ac:dyDescent="0.25">
      <c r="A615" s="68" t="s">
        <v>1089</v>
      </c>
      <c r="B615" s="68" t="s">
        <v>872</v>
      </c>
      <c r="C615" s="116" t="s">
        <v>873</v>
      </c>
      <c r="D615" s="68" t="s">
        <v>56</v>
      </c>
      <c r="E615" s="70">
        <f>HIDROSANITÁRIO!C177</f>
        <v>10</v>
      </c>
      <c r="F615" s="201">
        <v>8.85</v>
      </c>
      <c r="G615" s="201">
        <f t="shared" si="201"/>
        <v>11.215605</v>
      </c>
      <c r="H615" s="201">
        <f t="shared" si="202"/>
        <v>112.15</v>
      </c>
    </row>
    <row r="616" spans="1:8" s="71" customFormat="1" ht="47.25" outlineLevel="2" x14ac:dyDescent="0.25">
      <c r="A616" s="68" t="s">
        <v>1090</v>
      </c>
      <c r="B616" s="68" t="s">
        <v>2877</v>
      </c>
      <c r="C616" s="71" t="s">
        <v>704</v>
      </c>
      <c r="D616" s="68" t="s">
        <v>99</v>
      </c>
      <c r="E616" s="70">
        <f>HIDROSANITÁRIO!C178</f>
        <v>75.489999999999995</v>
      </c>
      <c r="F616" s="201">
        <v>7.95</v>
      </c>
      <c r="G616" s="201">
        <f t="shared" si="201"/>
        <v>10.075035000000002</v>
      </c>
      <c r="H616" s="201">
        <f t="shared" si="202"/>
        <v>760.56</v>
      </c>
    </row>
    <row r="617" spans="1:8" s="71" customFormat="1" ht="47.25" outlineLevel="2" x14ac:dyDescent="0.25">
      <c r="A617" s="68" t="s">
        <v>1091</v>
      </c>
      <c r="B617" s="68" t="s">
        <v>2878</v>
      </c>
      <c r="C617" s="116" t="s">
        <v>705</v>
      </c>
      <c r="D617" s="68" t="s">
        <v>56</v>
      </c>
      <c r="E617" s="70">
        <f>HIDROSANITÁRIO!C179</f>
        <v>21</v>
      </c>
      <c r="F617" s="201">
        <v>11.27</v>
      </c>
      <c r="G617" s="201">
        <f t="shared" si="201"/>
        <v>14.282471000000001</v>
      </c>
      <c r="H617" s="201">
        <f t="shared" si="202"/>
        <v>299.93</v>
      </c>
    </row>
    <row r="618" spans="1:8" s="71" customFormat="1" outlineLevel="1" x14ac:dyDescent="0.25">
      <c r="A618" s="79"/>
      <c r="B618" s="79"/>
      <c r="C618" s="119" t="s">
        <v>14</v>
      </c>
      <c r="D618" s="79"/>
      <c r="E618" s="81"/>
      <c r="F618" s="203"/>
      <c r="G618" s="218"/>
      <c r="H618" s="218">
        <f>SUM(H612:H617)</f>
        <v>1477.3300000000002</v>
      </c>
    </row>
    <row r="619" spans="1:8" s="71" customFormat="1" outlineLevel="1" x14ac:dyDescent="0.25">
      <c r="A619" s="170" t="s">
        <v>970</v>
      </c>
      <c r="B619" s="170"/>
      <c r="C619" s="178" t="s">
        <v>327</v>
      </c>
      <c r="D619" s="170"/>
      <c r="E619" s="446"/>
      <c r="F619" s="209"/>
      <c r="G619" s="201"/>
      <c r="H619" s="201"/>
    </row>
    <row r="620" spans="1:8" s="71" customFormat="1" ht="31.5" outlineLevel="2" x14ac:dyDescent="0.25">
      <c r="A620" s="68" t="s">
        <v>1092</v>
      </c>
      <c r="B620" s="68" t="s">
        <v>875</v>
      </c>
      <c r="C620" s="69" t="s">
        <v>876</v>
      </c>
      <c r="D620" s="68" t="s">
        <v>56</v>
      </c>
      <c r="E620" s="70">
        <f>HIDROSANITÁRIO!C182</f>
        <v>1</v>
      </c>
      <c r="F620" s="201">
        <v>7175.46</v>
      </c>
      <c r="G620" s="201">
        <f t="shared" ref="G620:G623" si="203">F620*(1+$E$2)</f>
        <v>9093.4604580000014</v>
      </c>
      <c r="H620" s="201">
        <f t="shared" ref="H620:H623" si="204">TRUNC((G620*E620),2)</f>
        <v>9093.4599999999991</v>
      </c>
    </row>
    <row r="621" spans="1:8" s="71" customFormat="1" ht="31.5" outlineLevel="2" x14ac:dyDescent="0.25">
      <c r="A621" s="68" t="s">
        <v>1093</v>
      </c>
      <c r="B621" s="68" t="s">
        <v>2314</v>
      </c>
      <c r="C621" s="69" t="s">
        <v>2315</v>
      </c>
      <c r="D621" s="68" t="s">
        <v>56</v>
      </c>
      <c r="E621" s="70">
        <f>HIDROSANITÁRIO!C183</f>
        <v>1</v>
      </c>
      <c r="F621" s="201">
        <v>13549.31</v>
      </c>
      <c r="G621" s="201">
        <f t="shared" ref="G621" si="205">F621*(1+$E$2)</f>
        <v>17171.040563000002</v>
      </c>
      <c r="H621" s="201">
        <f t="shared" si="204"/>
        <v>17171.04</v>
      </c>
    </row>
    <row r="622" spans="1:8" s="71" customFormat="1" ht="27" customHeight="1" outlineLevel="2" x14ac:dyDescent="0.25">
      <c r="A622" s="68" t="s">
        <v>1094</v>
      </c>
      <c r="B622" s="68" t="s">
        <v>925</v>
      </c>
      <c r="C622" s="69" t="s">
        <v>926</v>
      </c>
      <c r="D622" s="68" t="s">
        <v>56</v>
      </c>
      <c r="E622" s="70">
        <f>HIDROSANITÁRIO!C184</f>
        <v>2</v>
      </c>
      <c r="F622" s="201">
        <v>6687.5</v>
      </c>
      <c r="G622" s="201">
        <f t="shared" si="203"/>
        <v>8475.0687500000004</v>
      </c>
      <c r="H622" s="201">
        <f t="shared" si="204"/>
        <v>16950.13</v>
      </c>
    </row>
    <row r="623" spans="1:8" s="71" customFormat="1" ht="47.25" outlineLevel="2" x14ac:dyDescent="0.25">
      <c r="A623" s="68" t="s">
        <v>1095</v>
      </c>
      <c r="B623" s="68" t="s">
        <v>927</v>
      </c>
      <c r="C623" s="69" t="s">
        <v>2879</v>
      </c>
      <c r="D623" s="68" t="s">
        <v>56</v>
      </c>
      <c r="E623" s="70">
        <f>HIDROSANITÁRIO!C185</f>
        <v>4</v>
      </c>
      <c r="F623" s="201">
        <v>3916.24</v>
      </c>
      <c r="G623" s="201">
        <f t="shared" si="203"/>
        <v>4963.0509520000005</v>
      </c>
      <c r="H623" s="201">
        <f t="shared" si="204"/>
        <v>19852.2</v>
      </c>
    </row>
    <row r="624" spans="1:8" outlineLevel="1" x14ac:dyDescent="0.25">
      <c r="A624" s="79"/>
      <c r="B624" s="79"/>
      <c r="C624" s="119" t="s">
        <v>14</v>
      </c>
      <c r="D624" s="79"/>
      <c r="E624" s="81"/>
      <c r="F624" s="203"/>
      <c r="G624" s="218"/>
      <c r="H624" s="218">
        <f>SUM(H620:H623)</f>
        <v>63066.83</v>
      </c>
    </row>
    <row r="625" spans="1:8" s="71" customFormat="1" ht="31.5" outlineLevel="1" x14ac:dyDescent="0.25">
      <c r="A625" s="170" t="s">
        <v>971</v>
      </c>
      <c r="B625" s="170"/>
      <c r="C625" s="178" t="s">
        <v>2691</v>
      </c>
      <c r="D625" s="170"/>
      <c r="E625" s="446"/>
      <c r="F625" s="209"/>
      <c r="G625" s="201"/>
      <c r="H625" s="201"/>
    </row>
    <row r="626" spans="1:8" s="71" customFormat="1" ht="63" outlineLevel="2" x14ac:dyDescent="0.25">
      <c r="A626" s="68" t="s">
        <v>1096</v>
      </c>
      <c r="B626" s="68">
        <v>94097</v>
      </c>
      <c r="C626" s="69" t="s">
        <v>3182</v>
      </c>
      <c r="D626" s="226" t="s">
        <v>10</v>
      </c>
      <c r="E626" s="117">
        <f>DRENAGEM!C3</f>
        <v>55</v>
      </c>
      <c r="F626" s="201">
        <v>4.18</v>
      </c>
      <c r="G626" s="217">
        <f t="shared" ref="G626:G629" si="206">F626*(1+$E$2)</f>
        <v>5.2973140000000001</v>
      </c>
      <c r="H626" s="217">
        <f t="shared" ref="H626:H642" si="207">TRUNC((G626*E626),2)</f>
        <v>291.35000000000002</v>
      </c>
    </row>
    <row r="627" spans="1:8" s="71" customFormat="1" ht="45.75" customHeight="1" outlineLevel="2" x14ac:dyDescent="0.25">
      <c r="A627" s="68" t="s">
        <v>1097</v>
      </c>
      <c r="B627" s="68">
        <v>72132</v>
      </c>
      <c r="C627" s="69" t="s">
        <v>1343</v>
      </c>
      <c r="D627" s="226" t="s">
        <v>10</v>
      </c>
      <c r="E627" s="117">
        <f>DRENAGEM!C4</f>
        <v>104.43</v>
      </c>
      <c r="F627" s="201">
        <v>54.73</v>
      </c>
      <c r="G627" s="217">
        <f t="shared" si="206"/>
        <v>69.359329000000002</v>
      </c>
      <c r="H627" s="217">
        <f t="shared" si="207"/>
        <v>7243.19</v>
      </c>
    </row>
    <row r="628" spans="1:8" s="71" customFormat="1" ht="47.25" outlineLevel="2" x14ac:dyDescent="0.25">
      <c r="A628" s="68" t="s">
        <v>1098</v>
      </c>
      <c r="B628" s="68">
        <v>73549</v>
      </c>
      <c r="C628" s="69" t="s">
        <v>3183</v>
      </c>
      <c r="D628" s="226" t="s">
        <v>3048</v>
      </c>
      <c r="E628" s="117">
        <f>DRENAGEM!C5</f>
        <v>2.1</v>
      </c>
      <c r="F628" s="201">
        <v>462.06</v>
      </c>
      <c r="G628" s="217">
        <f t="shared" si="206"/>
        <v>585.56863800000008</v>
      </c>
      <c r="H628" s="217">
        <f t="shared" si="207"/>
        <v>1229.69</v>
      </c>
    </row>
    <row r="629" spans="1:8" s="71" customFormat="1" ht="47.25" outlineLevel="2" x14ac:dyDescent="0.25">
      <c r="A629" s="68" t="s">
        <v>2316</v>
      </c>
      <c r="B629" s="68">
        <v>95241</v>
      </c>
      <c r="C629" s="69" t="s">
        <v>3184</v>
      </c>
      <c r="D629" s="226" t="s">
        <v>10</v>
      </c>
      <c r="E629" s="117">
        <f>DRENAGEM!C6</f>
        <v>54.72</v>
      </c>
      <c r="F629" s="201">
        <v>19.12</v>
      </c>
      <c r="G629" s="217">
        <f t="shared" si="206"/>
        <v>24.230776000000002</v>
      </c>
      <c r="H629" s="217">
        <f t="shared" si="207"/>
        <v>1325.9</v>
      </c>
    </row>
    <row r="630" spans="1:8" s="71" customFormat="1" ht="45.75" customHeight="1" outlineLevel="2" x14ac:dyDescent="0.25">
      <c r="A630" s="68" t="s">
        <v>2458</v>
      </c>
      <c r="B630" s="68">
        <v>89402</v>
      </c>
      <c r="C630" s="69" t="s">
        <v>706</v>
      </c>
      <c r="D630" s="117" t="s">
        <v>99</v>
      </c>
      <c r="E630" s="117">
        <f>HIDROSANITÁRIO!C188</f>
        <v>224.45</v>
      </c>
      <c r="F630" s="201">
        <v>6.8</v>
      </c>
      <c r="G630" s="217">
        <f t="shared" ref="G630:G642" si="208">F630*(1+$E$2)</f>
        <v>8.6176399999999997</v>
      </c>
      <c r="H630" s="217">
        <f t="shared" si="207"/>
        <v>1934.22</v>
      </c>
    </row>
    <row r="631" spans="1:8" s="71" customFormat="1" ht="45.75" customHeight="1" outlineLevel="2" x14ac:dyDescent="0.25">
      <c r="A631" s="68" t="s">
        <v>2459</v>
      </c>
      <c r="B631" s="68" t="s">
        <v>2880</v>
      </c>
      <c r="C631" s="69" t="s">
        <v>707</v>
      </c>
      <c r="D631" s="68" t="s">
        <v>56</v>
      </c>
      <c r="E631" s="117">
        <f>HIDROSANITÁRIO!C189</f>
        <v>21</v>
      </c>
      <c r="F631" s="201">
        <v>134.41</v>
      </c>
      <c r="G631" s="217">
        <f t="shared" si="208"/>
        <v>170.337793</v>
      </c>
      <c r="H631" s="217">
        <f t="shared" si="207"/>
        <v>3577.09</v>
      </c>
    </row>
    <row r="632" spans="1:8" s="71" customFormat="1" ht="47.25" outlineLevel="2" x14ac:dyDescent="0.25">
      <c r="A632" s="68" t="s">
        <v>2460</v>
      </c>
      <c r="B632" s="68" t="s">
        <v>2786</v>
      </c>
      <c r="C632" s="69" t="s">
        <v>657</v>
      </c>
      <c r="D632" s="117" t="s">
        <v>56</v>
      </c>
      <c r="E632" s="117">
        <f>HIDROSANITÁRIO!C190</f>
        <v>69</v>
      </c>
      <c r="F632" s="201">
        <v>3.26</v>
      </c>
      <c r="G632" s="217">
        <f t="shared" si="208"/>
        <v>4.1313979999999999</v>
      </c>
      <c r="H632" s="217">
        <f t="shared" si="207"/>
        <v>285.06</v>
      </c>
    </row>
    <row r="633" spans="1:8" s="71" customFormat="1" ht="47.25" outlineLevel="2" x14ac:dyDescent="0.25">
      <c r="A633" s="68" t="s">
        <v>2461</v>
      </c>
      <c r="B633" s="68" t="s">
        <v>2821</v>
      </c>
      <c r="C633" s="69" t="s">
        <v>666</v>
      </c>
      <c r="D633" s="117" t="s">
        <v>56</v>
      </c>
      <c r="E633" s="117">
        <f>HIDROSANITÁRIO!C191</f>
        <v>22</v>
      </c>
      <c r="F633" s="201">
        <v>8.66</v>
      </c>
      <c r="G633" s="217">
        <f t="shared" si="208"/>
        <v>10.974818000000001</v>
      </c>
      <c r="H633" s="217">
        <f t="shared" si="207"/>
        <v>241.44</v>
      </c>
    </row>
    <row r="634" spans="1:8" s="71" customFormat="1" ht="63" outlineLevel="2" x14ac:dyDescent="0.25">
      <c r="A634" s="68" t="s">
        <v>2462</v>
      </c>
      <c r="B634" s="226" t="s">
        <v>3181</v>
      </c>
      <c r="C634" s="246" t="s">
        <v>3180</v>
      </c>
      <c r="D634" s="371" t="s">
        <v>56</v>
      </c>
      <c r="E634" s="70">
        <f>DRENAGEM!C8</f>
        <v>68</v>
      </c>
      <c r="F634" s="201">
        <v>289.08999999999997</v>
      </c>
      <c r="G634" s="217">
        <f t="shared" ref="G634" si="209">F634*(1+$E$2)</f>
        <v>366.36375700000002</v>
      </c>
      <c r="H634" s="217">
        <f t="shared" si="207"/>
        <v>24912.73</v>
      </c>
    </row>
    <row r="635" spans="1:8" s="71" customFormat="1" ht="78.75" outlineLevel="2" x14ac:dyDescent="0.25">
      <c r="A635" s="68" t="s">
        <v>2463</v>
      </c>
      <c r="B635" s="68" t="s">
        <v>685</v>
      </c>
      <c r="C635" s="69" t="s">
        <v>686</v>
      </c>
      <c r="D635" s="371" t="s">
        <v>56</v>
      </c>
      <c r="E635" s="70">
        <f>DRENAGEM!C9</f>
        <v>21</v>
      </c>
      <c r="F635" s="201">
        <v>127.19</v>
      </c>
      <c r="G635" s="217">
        <f t="shared" si="208"/>
        <v>161.18788700000002</v>
      </c>
      <c r="H635" s="217">
        <f t="shared" si="207"/>
        <v>3384.94</v>
      </c>
    </row>
    <row r="636" spans="1:8" s="71" customFormat="1" outlineLevel="2" x14ac:dyDescent="0.25">
      <c r="A636" s="68" t="s">
        <v>2464</v>
      </c>
      <c r="B636" s="68" t="s">
        <v>2854</v>
      </c>
      <c r="C636" s="69" t="s">
        <v>687</v>
      </c>
      <c r="D636" s="371" t="s">
        <v>56</v>
      </c>
      <c r="E636" s="70">
        <f>DRENAGEM!C10</f>
        <v>4</v>
      </c>
      <c r="F636" s="201">
        <v>320.79000000000002</v>
      </c>
      <c r="G636" s="217">
        <f t="shared" ref="G636" si="210">F636*(1+$E$2)</f>
        <v>406.53716700000007</v>
      </c>
      <c r="H636" s="217">
        <f t="shared" si="207"/>
        <v>1626.14</v>
      </c>
    </row>
    <row r="637" spans="1:8" s="71" customFormat="1" ht="47.25" outlineLevel="2" x14ac:dyDescent="0.25">
      <c r="A637" s="68" t="s">
        <v>2465</v>
      </c>
      <c r="B637" s="68" t="s">
        <v>2871</v>
      </c>
      <c r="C637" s="69" t="s">
        <v>697</v>
      </c>
      <c r="D637" s="68" t="s">
        <v>99</v>
      </c>
      <c r="E637" s="70">
        <f>DRENAGEM!C11+DRENAGEM!C15</f>
        <v>276.44</v>
      </c>
      <c r="F637" s="201">
        <v>37.049999999999997</v>
      </c>
      <c r="G637" s="217">
        <f t="shared" si="208"/>
        <v>46.953465000000001</v>
      </c>
      <c r="H637" s="217">
        <f t="shared" si="207"/>
        <v>12979.81</v>
      </c>
    </row>
    <row r="638" spans="1:8" outlineLevel="2" x14ac:dyDescent="0.25">
      <c r="A638" s="68" t="s">
        <v>2466</v>
      </c>
      <c r="B638" s="68" t="s">
        <v>2707</v>
      </c>
      <c r="C638" s="69" t="s">
        <v>503</v>
      </c>
      <c r="D638" s="226" t="s">
        <v>273</v>
      </c>
      <c r="E638" s="70">
        <f>DRENAGEM!C12</f>
        <v>36</v>
      </c>
      <c r="F638" s="201">
        <v>54.9</v>
      </c>
      <c r="G638" s="201">
        <f t="shared" si="208"/>
        <v>69.574770000000001</v>
      </c>
      <c r="H638" s="217">
        <f t="shared" si="207"/>
        <v>2504.69</v>
      </c>
    </row>
    <row r="639" spans="1:8" ht="63" outlineLevel="2" x14ac:dyDescent="0.25">
      <c r="A639" s="68" t="s">
        <v>2467</v>
      </c>
      <c r="B639" s="68">
        <v>91796</v>
      </c>
      <c r="C639" s="116" t="s">
        <v>3086</v>
      </c>
      <c r="D639" s="68" t="s">
        <v>75</v>
      </c>
      <c r="E639" s="70">
        <f>DRENAGEM!C13</f>
        <v>25.21</v>
      </c>
      <c r="F639" s="201">
        <v>45.23</v>
      </c>
      <c r="G639" s="201">
        <f t="shared" si="208"/>
        <v>57.319979000000004</v>
      </c>
      <c r="H639" s="217">
        <f t="shared" si="207"/>
        <v>1445.03</v>
      </c>
    </row>
    <row r="640" spans="1:8" outlineLevel="2" x14ac:dyDescent="0.25">
      <c r="A640" s="68" t="s">
        <v>3185</v>
      </c>
      <c r="B640" s="68" t="s">
        <v>259</v>
      </c>
      <c r="C640" s="69" t="s">
        <v>506</v>
      </c>
      <c r="D640" s="117" t="s">
        <v>273</v>
      </c>
      <c r="E640" s="447">
        <f>DRENAGEM!C14</f>
        <v>22</v>
      </c>
      <c r="F640" s="201">
        <v>41.64</v>
      </c>
      <c r="G640" s="217">
        <f t="shared" si="208"/>
        <v>52.770372000000002</v>
      </c>
      <c r="H640" s="217">
        <f t="shared" si="207"/>
        <v>1160.94</v>
      </c>
    </row>
    <row r="641" spans="1:8" s="71" customFormat="1" outlineLevel="2" x14ac:dyDescent="0.25">
      <c r="A641" s="68" t="s">
        <v>3186</v>
      </c>
      <c r="B641" s="68" t="s">
        <v>3090</v>
      </c>
      <c r="C641" s="116" t="s">
        <v>3089</v>
      </c>
      <c r="D641" s="68" t="s">
        <v>75</v>
      </c>
      <c r="E641" s="70">
        <f>DRENAGEM!C15</f>
        <v>18</v>
      </c>
      <c r="F641" s="201">
        <v>28.68</v>
      </c>
      <c r="G641" s="201">
        <f t="shared" ref="G641" si="211">F641*(1+$E$2)</f>
        <v>36.346164000000002</v>
      </c>
      <c r="H641" s="217">
        <f t="shared" si="207"/>
        <v>654.23</v>
      </c>
    </row>
    <row r="642" spans="1:8" s="71" customFormat="1" ht="63" outlineLevel="2" x14ac:dyDescent="0.25">
      <c r="A642" s="68" t="s">
        <v>3187</v>
      </c>
      <c r="B642" s="68">
        <v>90696</v>
      </c>
      <c r="C642" s="116" t="s">
        <v>3087</v>
      </c>
      <c r="D642" s="68" t="s">
        <v>75</v>
      </c>
      <c r="E642" s="70">
        <f>DRENAGEM!C16</f>
        <v>97</v>
      </c>
      <c r="F642" s="201">
        <v>55.45</v>
      </c>
      <c r="G642" s="201">
        <f t="shared" si="208"/>
        <v>70.271785000000008</v>
      </c>
      <c r="H642" s="217">
        <f t="shared" si="207"/>
        <v>6816.36</v>
      </c>
    </row>
    <row r="643" spans="1:8" s="71" customFormat="1" outlineLevel="1" x14ac:dyDescent="0.25">
      <c r="A643" s="79"/>
      <c r="B643" s="79"/>
      <c r="C643" s="80" t="s">
        <v>14</v>
      </c>
      <c r="D643" s="79"/>
      <c r="E643" s="81"/>
      <c r="F643" s="203"/>
      <c r="G643" s="218"/>
      <c r="H643" s="218">
        <f>SUM(H626:H642)</f>
        <v>71612.81</v>
      </c>
    </row>
    <row r="644" spans="1:8" x14ac:dyDescent="0.25">
      <c r="A644" s="66"/>
      <c r="B644" s="66"/>
      <c r="C644" s="67" t="s">
        <v>191</v>
      </c>
      <c r="D644" s="66"/>
      <c r="E644" s="81"/>
      <c r="F644" s="202"/>
      <c r="G644" s="204"/>
      <c r="H644" s="204">
        <f>H458+H512+H520+H530+H540+H548+H552+H560+H568+H580+H610+H618+H624+H643</f>
        <v>353240.98</v>
      </c>
    </row>
    <row r="645" spans="1:8" x14ac:dyDescent="0.25">
      <c r="A645" s="699" t="s">
        <v>189</v>
      </c>
      <c r="B645" s="699"/>
      <c r="C645" s="699"/>
      <c r="D645" s="699"/>
      <c r="E645" s="699"/>
      <c r="F645" s="699"/>
      <c r="G645" s="699"/>
      <c r="H645" s="699"/>
    </row>
    <row r="646" spans="1:8" outlineLevel="1" x14ac:dyDescent="0.25">
      <c r="A646" s="173" t="s">
        <v>972</v>
      </c>
      <c r="B646" s="173"/>
      <c r="C646" s="179" t="s">
        <v>189</v>
      </c>
      <c r="D646" s="173"/>
      <c r="E646" s="176"/>
      <c r="F646" s="206"/>
      <c r="G646" s="219"/>
      <c r="H646" s="206"/>
    </row>
    <row r="647" spans="1:8" ht="47.25" outlineLevel="2" x14ac:dyDescent="0.25">
      <c r="A647" s="68" t="s">
        <v>1099</v>
      </c>
      <c r="B647" s="68" t="s">
        <v>956</v>
      </c>
      <c r="C647" s="69" t="s">
        <v>957</v>
      </c>
      <c r="D647" s="117" t="s">
        <v>56</v>
      </c>
      <c r="E647" s="447">
        <f>GLP!F3</f>
        <v>2</v>
      </c>
      <c r="F647" s="201">
        <v>8291.91</v>
      </c>
      <c r="G647" s="217">
        <f t="shared" ref="G647" si="212">F647*(1+$E$2)</f>
        <v>10508.337543000001</v>
      </c>
      <c r="H647" s="217">
        <f t="shared" ref="H647" si="213">TRUNC((G647*E647),2)</f>
        <v>21016.67</v>
      </c>
    </row>
    <row r="648" spans="1:8" outlineLevel="2" x14ac:dyDescent="0.25">
      <c r="A648" s="68" t="s">
        <v>1100</v>
      </c>
      <c r="B648" s="68" t="s">
        <v>2707</v>
      </c>
      <c r="C648" s="69" t="s">
        <v>503</v>
      </c>
      <c r="D648" s="117" t="s">
        <v>273</v>
      </c>
      <c r="E648" s="447">
        <f>GLP!F4</f>
        <v>34.35</v>
      </c>
      <c r="F648" s="201">
        <v>54.9</v>
      </c>
      <c r="G648" s="217">
        <f t="shared" ref="G648:G657" si="214">F648*(1+$E$2)</f>
        <v>69.574770000000001</v>
      </c>
      <c r="H648" s="217">
        <f t="shared" ref="H648:H657" si="215">TRUNC((G648*E648),2)</f>
        <v>2389.89</v>
      </c>
    </row>
    <row r="649" spans="1:8" outlineLevel="2" x14ac:dyDescent="0.25">
      <c r="A649" s="68" t="s">
        <v>1101</v>
      </c>
      <c r="B649" s="68" t="s">
        <v>259</v>
      </c>
      <c r="C649" s="69" t="s">
        <v>506</v>
      </c>
      <c r="D649" s="117" t="s">
        <v>273</v>
      </c>
      <c r="E649" s="447">
        <f>GLP!F5</f>
        <v>30.91</v>
      </c>
      <c r="F649" s="201">
        <v>41.64</v>
      </c>
      <c r="G649" s="217">
        <f t="shared" si="214"/>
        <v>52.770372000000002</v>
      </c>
      <c r="H649" s="217">
        <f t="shared" si="215"/>
        <v>1631.13</v>
      </c>
    </row>
    <row r="650" spans="1:8" ht="63" outlineLevel="2" x14ac:dyDescent="0.25">
      <c r="A650" s="68" t="s">
        <v>1102</v>
      </c>
      <c r="B650" s="68" t="s">
        <v>958</v>
      </c>
      <c r="C650" s="69" t="s">
        <v>2881</v>
      </c>
      <c r="D650" s="117" t="s">
        <v>106</v>
      </c>
      <c r="E650" s="447">
        <f>GLP!F6</f>
        <v>85.87</v>
      </c>
      <c r="F650" s="201">
        <v>14.08</v>
      </c>
      <c r="G650" s="217">
        <f t="shared" si="214"/>
        <v>17.843584</v>
      </c>
      <c r="H650" s="217">
        <f t="shared" si="215"/>
        <v>1532.22</v>
      </c>
    </row>
    <row r="651" spans="1:8" ht="63" outlineLevel="2" x14ac:dyDescent="0.25">
      <c r="A651" s="68" t="s">
        <v>1103</v>
      </c>
      <c r="B651" s="68" t="s">
        <v>2882</v>
      </c>
      <c r="C651" s="69" t="s">
        <v>2883</v>
      </c>
      <c r="D651" s="117" t="s">
        <v>99</v>
      </c>
      <c r="E651" s="447">
        <f>GLP!F8</f>
        <v>28</v>
      </c>
      <c r="F651" s="201">
        <v>14.1</v>
      </c>
      <c r="G651" s="217">
        <f t="shared" si="214"/>
        <v>17.868930000000002</v>
      </c>
      <c r="H651" s="217">
        <f t="shared" si="215"/>
        <v>500.33</v>
      </c>
    </row>
    <row r="652" spans="1:8" ht="63" outlineLevel="2" x14ac:dyDescent="0.25">
      <c r="A652" s="68" t="s">
        <v>1543</v>
      </c>
      <c r="B652" s="68" t="s">
        <v>2884</v>
      </c>
      <c r="C652" s="69" t="s">
        <v>959</v>
      </c>
      <c r="D652" s="117" t="s">
        <v>99</v>
      </c>
      <c r="E652" s="447">
        <f>GLP!F7</f>
        <v>57.87</v>
      </c>
      <c r="F652" s="201">
        <v>20.32</v>
      </c>
      <c r="G652" s="217">
        <f t="shared" si="214"/>
        <v>25.751536000000002</v>
      </c>
      <c r="H652" s="217">
        <f t="shared" si="215"/>
        <v>1490.24</v>
      </c>
    </row>
    <row r="653" spans="1:8" ht="47.25" outlineLevel="2" x14ac:dyDescent="0.25">
      <c r="A653" s="68" t="s">
        <v>1544</v>
      </c>
      <c r="B653" s="68" t="s">
        <v>2885</v>
      </c>
      <c r="C653" s="69" t="s">
        <v>960</v>
      </c>
      <c r="D653" s="117" t="s">
        <v>56</v>
      </c>
      <c r="E653" s="447">
        <f>GLP!F10</f>
        <v>27</v>
      </c>
      <c r="F653" s="201">
        <v>13.06</v>
      </c>
      <c r="G653" s="217">
        <f t="shared" si="214"/>
        <v>16.550938000000002</v>
      </c>
      <c r="H653" s="217">
        <f t="shared" si="215"/>
        <v>446.87</v>
      </c>
    </row>
    <row r="654" spans="1:8" ht="47.25" outlineLevel="2" x14ac:dyDescent="0.25">
      <c r="A654" s="68" t="s">
        <v>1545</v>
      </c>
      <c r="B654" s="68" t="s">
        <v>2886</v>
      </c>
      <c r="C654" s="69" t="s">
        <v>962</v>
      </c>
      <c r="D654" s="117" t="s">
        <v>56</v>
      </c>
      <c r="E654" s="447">
        <f>GLP!F9</f>
        <v>8</v>
      </c>
      <c r="F654" s="201">
        <v>21.36</v>
      </c>
      <c r="G654" s="217">
        <f t="shared" si="214"/>
        <v>27.069528000000002</v>
      </c>
      <c r="H654" s="217">
        <f t="shared" si="215"/>
        <v>216.55</v>
      </c>
    </row>
    <row r="655" spans="1:8" ht="47.25" outlineLevel="2" x14ac:dyDescent="0.25">
      <c r="A655" s="68" t="s">
        <v>1546</v>
      </c>
      <c r="B655" s="68" t="s">
        <v>2887</v>
      </c>
      <c r="C655" s="69" t="s">
        <v>963</v>
      </c>
      <c r="D655" s="117" t="s">
        <v>56</v>
      </c>
      <c r="E655" s="447">
        <f>GLP!F12</f>
        <v>9</v>
      </c>
      <c r="F655" s="201">
        <v>17.59</v>
      </c>
      <c r="G655" s="217">
        <f t="shared" si="214"/>
        <v>22.291807000000002</v>
      </c>
      <c r="H655" s="217">
        <f t="shared" si="215"/>
        <v>200.62</v>
      </c>
    </row>
    <row r="656" spans="1:8" ht="47.25" outlineLevel="2" x14ac:dyDescent="0.25">
      <c r="A656" s="68" t="s">
        <v>1547</v>
      </c>
      <c r="B656" s="68" t="s">
        <v>2888</v>
      </c>
      <c r="C656" s="69" t="s">
        <v>2889</v>
      </c>
      <c r="D656" s="117" t="s">
        <v>56</v>
      </c>
      <c r="E656" s="447">
        <f>GLP!F11</f>
        <v>3</v>
      </c>
      <c r="F656" s="201">
        <v>28.21</v>
      </c>
      <c r="G656" s="217">
        <f t="shared" si="214"/>
        <v>35.750533000000004</v>
      </c>
      <c r="H656" s="217">
        <f t="shared" si="215"/>
        <v>107.25</v>
      </c>
    </row>
    <row r="657" spans="1:8" ht="47.25" outlineLevel="2" x14ac:dyDescent="0.25">
      <c r="A657" s="68" t="s">
        <v>1548</v>
      </c>
      <c r="B657" s="68" t="s">
        <v>2890</v>
      </c>
      <c r="C657" s="69" t="s">
        <v>964</v>
      </c>
      <c r="D657" s="117" t="s">
        <v>56</v>
      </c>
      <c r="E657" s="447">
        <f>GLP!F13</f>
        <v>17</v>
      </c>
      <c r="F657" s="201">
        <v>31.56</v>
      </c>
      <c r="G657" s="217">
        <f t="shared" si="214"/>
        <v>39.995988000000004</v>
      </c>
      <c r="H657" s="217">
        <f t="shared" si="215"/>
        <v>679.93</v>
      </c>
    </row>
    <row r="658" spans="1:8" outlineLevel="1" x14ac:dyDescent="0.25">
      <c r="A658" s="79"/>
      <c r="B658" s="79"/>
      <c r="C658" s="80" t="s">
        <v>14</v>
      </c>
      <c r="D658" s="79"/>
      <c r="E658" s="81"/>
      <c r="F658" s="203"/>
      <c r="G658" s="218"/>
      <c r="H658" s="218">
        <f>SUM(H647:H657)</f>
        <v>30211.7</v>
      </c>
    </row>
    <row r="659" spans="1:8" x14ac:dyDescent="0.25">
      <c r="A659" s="79"/>
      <c r="B659" s="79"/>
      <c r="C659" s="80" t="s">
        <v>955</v>
      </c>
      <c r="D659" s="79"/>
      <c r="E659" s="81"/>
      <c r="F659" s="203"/>
      <c r="G659" s="218"/>
      <c r="H659" s="218">
        <f>H658</f>
        <v>30211.7</v>
      </c>
    </row>
    <row r="660" spans="1:8" x14ac:dyDescent="0.25">
      <c r="A660" s="699" t="s">
        <v>2605</v>
      </c>
      <c r="B660" s="699"/>
      <c r="C660" s="699"/>
      <c r="D660" s="699"/>
      <c r="E660" s="699"/>
      <c r="F660" s="699"/>
      <c r="G660" s="699"/>
      <c r="H660" s="699"/>
    </row>
    <row r="661" spans="1:8" s="71" customFormat="1" outlineLevel="1" x14ac:dyDescent="0.25">
      <c r="A661" s="173" t="s">
        <v>973</v>
      </c>
      <c r="B661" s="173"/>
      <c r="C661" s="179" t="s">
        <v>279</v>
      </c>
      <c r="D661" s="173"/>
      <c r="E661" s="176"/>
      <c r="F661" s="206"/>
      <c r="G661" s="219"/>
      <c r="H661" s="206"/>
    </row>
    <row r="662" spans="1:8" s="71" customFormat="1" ht="47.25" outlineLevel="2" x14ac:dyDescent="0.25">
      <c r="A662" s="68" t="s">
        <v>1104</v>
      </c>
      <c r="B662" s="68" t="s">
        <v>2891</v>
      </c>
      <c r="C662" s="69" t="s">
        <v>708</v>
      </c>
      <c r="D662" s="117" t="s">
        <v>99</v>
      </c>
      <c r="E662" s="447">
        <f>ELÉTRICO!E5</f>
        <v>5000</v>
      </c>
      <c r="F662" s="201">
        <v>2.95</v>
      </c>
      <c r="G662" s="201">
        <f t="shared" ref="G662:G717" si="216">F662*(1+$E$2)</f>
        <v>3.7385350000000006</v>
      </c>
      <c r="H662" s="201">
        <f t="shared" ref="H662:H717" si="217">TRUNC((G662*E662),2)</f>
        <v>18692.669999999998</v>
      </c>
    </row>
    <row r="663" spans="1:8" s="71" customFormat="1" ht="47.25" outlineLevel="2" x14ac:dyDescent="0.25">
      <c r="A663" s="68" t="s">
        <v>1105</v>
      </c>
      <c r="B663" s="68" t="s">
        <v>2892</v>
      </c>
      <c r="C663" s="69" t="s">
        <v>709</v>
      </c>
      <c r="D663" s="117" t="s">
        <v>99</v>
      </c>
      <c r="E663" s="447">
        <f>ELÉTRICO!E6</f>
        <v>7650</v>
      </c>
      <c r="F663" s="201">
        <v>4.17</v>
      </c>
      <c r="G663" s="201">
        <f t="shared" si="216"/>
        <v>5.2846410000000006</v>
      </c>
      <c r="H663" s="201">
        <f t="shared" si="217"/>
        <v>40427.5</v>
      </c>
    </row>
    <row r="664" spans="1:8" s="71" customFormat="1" ht="47.25" outlineLevel="2" x14ac:dyDescent="0.25">
      <c r="A664" s="68" t="s">
        <v>1549</v>
      </c>
      <c r="B664" s="68" t="s">
        <v>2893</v>
      </c>
      <c r="C664" s="69" t="s">
        <v>710</v>
      </c>
      <c r="D664" s="117" t="s">
        <v>99</v>
      </c>
      <c r="E664" s="447">
        <f>ELÉTRICO!E7</f>
        <v>2190</v>
      </c>
      <c r="F664" s="201">
        <v>4.93</v>
      </c>
      <c r="G664" s="201">
        <f t="shared" si="216"/>
        <v>6.247789</v>
      </c>
      <c r="H664" s="201">
        <f t="shared" si="217"/>
        <v>13682.65</v>
      </c>
    </row>
    <row r="665" spans="1:8" s="71" customFormat="1" ht="31.5" outlineLevel="2" x14ac:dyDescent="0.25">
      <c r="A665" s="68" t="s">
        <v>1550</v>
      </c>
      <c r="B665" s="68" t="s">
        <v>3199</v>
      </c>
      <c r="C665" s="69" t="s">
        <v>3198</v>
      </c>
      <c r="D665" s="117" t="s">
        <v>99</v>
      </c>
      <c r="E665" s="447">
        <f>ELÉTRICO!E8</f>
        <v>676</v>
      </c>
      <c r="F665" s="201">
        <v>12.04</v>
      </c>
      <c r="G665" s="201">
        <f t="shared" si="216"/>
        <v>15.258292000000001</v>
      </c>
      <c r="H665" s="201">
        <f t="shared" si="217"/>
        <v>10314.6</v>
      </c>
    </row>
    <row r="666" spans="1:8" s="71" customFormat="1" ht="31.5" outlineLevel="2" x14ac:dyDescent="0.25">
      <c r="A666" s="68" t="s">
        <v>2258</v>
      </c>
      <c r="B666" s="68" t="s">
        <v>3200</v>
      </c>
      <c r="C666" s="69" t="s">
        <v>3202</v>
      </c>
      <c r="D666" s="117" t="s">
        <v>99</v>
      </c>
      <c r="E666" s="447">
        <f>ELÉTRICO!E9</f>
        <v>550</v>
      </c>
      <c r="F666" s="201">
        <v>15.92</v>
      </c>
      <c r="G666" s="201">
        <f t="shared" si="216"/>
        <v>20.175416000000002</v>
      </c>
      <c r="H666" s="201">
        <f t="shared" si="217"/>
        <v>11096.47</v>
      </c>
    </row>
    <row r="667" spans="1:8" s="71" customFormat="1" ht="47.25" outlineLevel="2" x14ac:dyDescent="0.25">
      <c r="A667" s="68" t="s">
        <v>2259</v>
      </c>
      <c r="B667" s="68" t="s">
        <v>3201</v>
      </c>
      <c r="C667" s="69" t="s">
        <v>907</v>
      </c>
      <c r="D667" s="117" t="s">
        <v>99</v>
      </c>
      <c r="E667" s="447">
        <f>ELÉTRICO!E10</f>
        <v>351</v>
      </c>
      <c r="F667" s="201">
        <v>21.27</v>
      </c>
      <c r="G667" s="201">
        <f t="shared" si="216"/>
        <v>26.955471000000003</v>
      </c>
      <c r="H667" s="201">
        <f t="shared" si="217"/>
        <v>9461.3700000000008</v>
      </c>
    </row>
    <row r="668" spans="1:8" s="71" customFormat="1" ht="31.5" outlineLevel="2" x14ac:dyDescent="0.25">
      <c r="A668" s="68" t="s">
        <v>2260</v>
      </c>
      <c r="B668" s="68" t="s">
        <v>3204</v>
      </c>
      <c r="C668" s="69" t="s">
        <v>3203</v>
      </c>
      <c r="D668" s="117" t="s">
        <v>99</v>
      </c>
      <c r="E668" s="447">
        <f>ELÉTRICO!E11</f>
        <v>355</v>
      </c>
      <c r="F668" s="201">
        <v>39</v>
      </c>
      <c r="G668" s="201">
        <f t="shared" si="216"/>
        <v>49.424700000000001</v>
      </c>
      <c r="H668" s="201">
        <f t="shared" si="217"/>
        <v>17545.759999999998</v>
      </c>
    </row>
    <row r="669" spans="1:8" s="71" customFormat="1" ht="31.5" outlineLevel="2" x14ac:dyDescent="0.25">
      <c r="A669" s="68" t="s">
        <v>2261</v>
      </c>
      <c r="B669" s="68" t="s">
        <v>3207</v>
      </c>
      <c r="C669" s="69" t="s">
        <v>3206</v>
      </c>
      <c r="D669" s="117" t="s">
        <v>99</v>
      </c>
      <c r="E669" s="447">
        <f>ELÉTRICO!E12</f>
        <v>120</v>
      </c>
      <c r="F669" s="201">
        <v>66.099999999999994</v>
      </c>
      <c r="G669" s="201">
        <f t="shared" si="216"/>
        <v>83.768529999999998</v>
      </c>
      <c r="H669" s="201">
        <f t="shared" si="217"/>
        <v>10052.219999999999</v>
      </c>
    </row>
    <row r="670" spans="1:8" s="71" customFormat="1" ht="47.25" outlineLevel="2" x14ac:dyDescent="0.25">
      <c r="A670" s="68" t="s">
        <v>2262</v>
      </c>
      <c r="B670" s="68" t="s">
        <v>908</v>
      </c>
      <c r="C670" s="69" t="s">
        <v>1358</v>
      </c>
      <c r="D670" s="117" t="s">
        <v>56</v>
      </c>
      <c r="E670" s="447">
        <f>ELÉTRICO!E13</f>
        <v>307</v>
      </c>
      <c r="F670" s="201">
        <v>121.28</v>
      </c>
      <c r="G670" s="201">
        <f t="shared" si="216"/>
        <v>153.69814400000001</v>
      </c>
      <c r="H670" s="201">
        <f t="shared" si="217"/>
        <v>47185.33</v>
      </c>
    </row>
    <row r="671" spans="1:8" s="71" customFormat="1" ht="31.5" outlineLevel="2" x14ac:dyDescent="0.25">
      <c r="A671" s="68" t="s">
        <v>2263</v>
      </c>
      <c r="B671" s="68" t="s">
        <v>2894</v>
      </c>
      <c r="C671" s="69" t="s">
        <v>711</v>
      </c>
      <c r="D671" s="117" t="s">
        <v>56</v>
      </c>
      <c r="E671" s="447">
        <f>ELÉTRICO!E14</f>
        <v>13</v>
      </c>
      <c r="F671" s="201">
        <v>24.64</v>
      </c>
      <c r="G671" s="201">
        <f t="shared" si="216"/>
        <v>31.226272000000002</v>
      </c>
      <c r="H671" s="201">
        <f t="shared" si="217"/>
        <v>405.94</v>
      </c>
    </row>
    <row r="672" spans="1:8" s="71" customFormat="1" ht="31.5" outlineLevel="2" x14ac:dyDescent="0.25">
      <c r="A672" s="68" t="s">
        <v>2264</v>
      </c>
      <c r="B672" s="68" t="s">
        <v>911</v>
      </c>
      <c r="C672" s="69" t="s">
        <v>912</v>
      </c>
      <c r="D672" s="117" t="s">
        <v>56</v>
      </c>
      <c r="E672" s="447">
        <f>ELÉTRICO!E15</f>
        <v>25</v>
      </c>
      <c r="F672" s="201">
        <v>187.53</v>
      </c>
      <c r="G672" s="201">
        <f t="shared" si="216"/>
        <v>237.65676900000003</v>
      </c>
      <c r="H672" s="201">
        <f t="shared" si="217"/>
        <v>5941.41</v>
      </c>
    </row>
    <row r="673" spans="1:8" ht="47.25" outlineLevel="2" x14ac:dyDescent="0.25">
      <c r="A673" s="68" t="s">
        <v>2265</v>
      </c>
      <c r="B673" s="68" t="s">
        <v>2895</v>
      </c>
      <c r="C673" s="69" t="s">
        <v>712</v>
      </c>
      <c r="D673" s="117" t="s">
        <v>56</v>
      </c>
      <c r="E673" s="447">
        <f>ELÉTRICO!E16+LÓGICA!D13</f>
        <v>152</v>
      </c>
      <c r="F673" s="201">
        <v>6.38</v>
      </c>
      <c r="G673" s="201">
        <f t="shared" si="216"/>
        <v>8.0853739999999998</v>
      </c>
      <c r="H673" s="201">
        <f t="shared" si="217"/>
        <v>1228.97</v>
      </c>
    </row>
    <row r="674" spans="1:8" ht="47.25" outlineLevel="2" x14ac:dyDescent="0.25">
      <c r="A674" s="68" t="s">
        <v>2266</v>
      </c>
      <c r="B674" s="68" t="s">
        <v>2896</v>
      </c>
      <c r="C674" s="69" t="s">
        <v>2897</v>
      </c>
      <c r="D674" s="117" t="s">
        <v>56</v>
      </c>
      <c r="E674" s="447">
        <f>ELÉTRICO!E17</f>
        <v>5</v>
      </c>
      <c r="F674" s="201">
        <v>26.28</v>
      </c>
      <c r="G674" s="201">
        <f t="shared" si="216"/>
        <v>33.304644000000003</v>
      </c>
      <c r="H674" s="201">
        <f t="shared" si="217"/>
        <v>166.52</v>
      </c>
    </row>
    <row r="675" spans="1:8" ht="47.25" outlineLevel="2" x14ac:dyDescent="0.25">
      <c r="A675" s="68" t="s">
        <v>2267</v>
      </c>
      <c r="B675" s="68" t="s">
        <v>2898</v>
      </c>
      <c r="C675" s="69" t="s">
        <v>2899</v>
      </c>
      <c r="D675" s="117" t="s">
        <v>56</v>
      </c>
      <c r="E675" s="447">
        <f>ELÉTRICO!E18</f>
        <v>22</v>
      </c>
      <c r="F675" s="201">
        <v>20.6</v>
      </c>
      <c r="G675" s="201">
        <f t="shared" si="216"/>
        <v>26.106380000000005</v>
      </c>
      <c r="H675" s="201">
        <f t="shared" si="217"/>
        <v>574.34</v>
      </c>
    </row>
    <row r="676" spans="1:8" ht="47.25" outlineLevel="2" x14ac:dyDescent="0.25">
      <c r="A676" s="68" t="s">
        <v>2268</v>
      </c>
      <c r="B676" s="68" t="s">
        <v>2900</v>
      </c>
      <c r="C676" s="69" t="s">
        <v>2901</v>
      </c>
      <c r="D676" s="117" t="s">
        <v>56</v>
      </c>
      <c r="E676" s="447">
        <f>ELÉTRICO!E19</f>
        <v>6</v>
      </c>
      <c r="F676" s="201">
        <v>21.37</v>
      </c>
      <c r="G676" s="201">
        <f t="shared" si="216"/>
        <v>27.082201000000005</v>
      </c>
      <c r="H676" s="201">
        <f t="shared" si="217"/>
        <v>162.49</v>
      </c>
    </row>
    <row r="677" spans="1:8" ht="47.25" outlineLevel="2" x14ac:dyDescent="0.25">
      <c r="A677" s="68" t="s">
        <v>2468</v>
      </c>
      <c r="B677" s="68" t="s">
        <v>2902</v>
      </c>
      <c r="C677" s="69" t="s">
        <v>2903</v>
      </c>
      <c r="D677" s="117" t="s">
        <v>56</v>
      </c>
      <c r="E677" s="447">
        <f>ELÉTRICO!E20</f>
        <v>2</v>
      </c>
      <c r="F677" s="201">
        <v>22.36</v>
      </c>
      <c r="G677" s="201">
        <f t="shared" si="216"/>
        <v>28.336828000000001</v>
      </c>
      <c r="H677" s="201">
        <f t="shared" si="217"/>
        <v>56.67</v>
      </c>
    </row>
    <row r="678" spans="1:8" ht="47.25" outlineLevel="2" x14ac:dyDescent="0.25">
      <c r="A678" s="68" t="s">
        <v>2469</v>
      </c>
      <c r="B678" s="68" t="s">
        <v>2904</v>
      </c>
      <c r="C678" s="69" t="s">
        <v>2905</v>
      </c>
      <c r="D678" s="117" t="s">
        <v>56</v>
      </c>
      <c r="E678" s="447">
        <f>ELÉTRICO!E21</f>
        <v>1</v>
      </c>
      <c r="F678" s="201">
        <v>28.08</v>
      </c>
      <c r="G678" s="201">
        <f t="shared" si="216"/>
        <v>35.585784000000004</v>
      </c>
      <c r="H678" s="201">
        <f t="shared" si="217"/>
        <v>35.58</v>
      </c>
    </row>
    <row r="679" spans="1:8" ht="31.5" outlineLevel="2" x14ac:dyDescent="0.25">
      <c r="A679" s="68" t="s">
        <v>2470</v>
      </c>
      <c r="B679" s="68" t="s">
        <v>2906</v>
      </c>
      <c r="C679" s="69" t="s">
        <v>1738</v>
      </c>
      <c r="D679" s="117" t="s">
        <v>56</v>
      </c>
      <c r="E679" s="447">
        <f>ELÉTRICO!E22</f>
        <v>332</v>
      </c>
      <c r="F679" s="201">
        <v>7.43</v>
      </c>
      <c r="G679" s="201">
        <f t="shared" ref="G679" si="218">F679*(1+$E$2)</f>
        <v>9.4160389999999996</v>
      </c>
      <c r="H679" s="201">
        <f t="shared" ref="H679" si="219">TRUNC((G679*E679),2)</f>
        <v>3126.12</v>
      </c>
    </row>
    <row r="680" spans="1:8" ht="47.25" outlineLevel="2" x14ac:dyDescent="0.25">
      <c r="A680" s="68" t="s">
        <v>2471</v>
      </c>
      <c r="B680" s="68" t="s">
        <v>2907</v>
      </c>
      <c r="C680" s="69" t="s">
        <v>713</v>
      </c>
      <c r="D680" s="117" t="s">
        <v>56</v>
      </c>
      <c r="E680" s="447">
        <f>ELÉTRICO!E24</f>
        <v>142</v>
      </c>
      <c r="F680" s="201">
        <v>16.510000000000002</v>
      </c>
      <c r="G680" s="201">
        <f t="shared" si="216"/>
        <v>20.923123000000004</v>
      </c>
      <c r="H680" s="201">
        <f t="shared" si="217"/>
        <v>2971.08</v>
      </c>
    </row>
    <row r="681" spans="1:8" ht="47.25" outlineLevel="2" x14ac:dyDescent="0.25">
      <c r="A681" s="68" t="s">
        <v>2472</v>
      </c>
      <c r="B681" s="68" t="s">
        <v>2908</v>
      </c>
      <c r="C681" s="69" t="s">
        <v>714</v>
      </c>
      <c r="D681" s="117" t="s">
        <v>56</v>
      </c>
      <c r="E681" s="447">
        <f>ELÉTRICO!E25</f>
        <v>26</v>
      </c>
      <c r="F681" s="201">
        <v>15.66</v>
      </c>
      <c r="G681" s="201">
        <f t="shared" si="216"/>
        <v>19.845918000000001</v>
      </c>
      <c r="H681" s="201">
        <f t="shared" si="217"/>
        <v>515.99</v>
      </c>
    </row>
    <row r="682" spans="1:8" ht="47.25" outlineLevel="2" x14ac:dyDescent="0.25">
      <c r="A682" s="68" t="s">
        <v>2473</v>
      </c>
      <c r="B682" s="68" t="s">
        <v>2909</v>
      </c>
      <c r="C682" s="69" t="s">
        <v>715</v>
      </c>
      <c r="D682" s="117" t="s">
        <v>56</v>
      </c>
      <c r="E682" s="447">
        <f>ELÉTRICO!E26</f>
        <v>4</v>
      </c>
      <c r="F682" s="201">
        <v>24.76</v>
      </c>
      <c r="G682" s="201">
        <f t="shared" si="216"/>
        <v>31.378348000000003</v>
      </c>
      <c r="H682" s="201">
        <f t="shared" si="217"/>
        <v>125.51</v>
      </c>
    </row>
    <row r="683" spans="1:8" ht="47.25" outlineLevel="2" x14ac:dyDescent="0.25">
      <c r="A683" s="68" t="s">
        <v>2474</v>
      </c>
      <c r="B683" s="68" t="s">
        <v>2910</v>
      </c>
      <c r="C683" s="69" t="s">
        <v>716</v>
      </c>
      <c r="D683" s="117" t="s">
        <v>56</v>
      </c>
      <c r="E683" s="447">
        <f>ELÉTRICO!E27</f>
        <v>24</v>
      </c>
      <c r="F683" s="201">
        <v>29.23</v>
      </c>
      <c r="G683" s="201">
        <f t="shared" si="216"/>
        <v>37.043179000000002</v>
      </c>
      <c r="H683" s="201">
        <f t="shared" si="217"/>
        <v>889.03</v>
      </c>
    </row>
    <row r="684" spans="1:8" ht="63" outlineLevel="2" x14ac:dyDescent="0.25">
      <c r="A684" s="68" t="s">
        <v>2475</v>
      </c>
      <c r="B684" s="68" t="s">
        <v>281</v>
      </c>
      <c r="C684" s="69" t="s">
        <v>717</v>
      </c>
      <c r="D684" s="117" t="s">
        <v>56</v>
      </c>
      <c r="E684" s="447">
        <f>ELÉTRICO!E28</f>
        <v>2</v>
      </c>
      <c r="F684" s="201">
        <v>419.69</v>
      </c>
      <c r="G684" s="201">
        <f t="shared" si="216"/>
        <v>531.87313700000004</v>
      </c>
      <c r="H684" s="201">
        <f t="shared" si="217"/>
        <v>1063.74</v>
      </c>
    </row>
    <row r="685" spans="1:8" s="71" customFormat="1" ht="63" outlineLevel="2" x14ac:dyDescent="0.25">
      <c r="A685" s="68" t="s">
        <v>2476</v>
      </c>
      <c r="B685" s="68" t="s">
        <v>282</v>
      </c>
      <c r="C685" s="69" t="s">
        <v>718</v>
      </c>
      <c r="D685" s="117" t="s">
        <v>56</v>
      </c>
      <c r="E685" s="447">
        <f>ELÉTRICO!E29</f>
        <v>1</v>
      </c>
      <c r="F685" s="201">
        <v>486.18</v>
      </c>
      <c r="G685" s="201">
        <f t="shared" si="216"/>
        <v>616.13591400000007</v>
      </c>
      <c r="H685" s="201">
        <f t="shared" si="217"/>
        <v>616.13</v>
      </c>
    </row>
    <row r="686" spans="1:8" ht="63" outlineLevel="2" x14ac:dyDescent="0.25">
      <c r="A686" s="68" t="s">
        <v>2477</v>
      </c>
      <c r="B686" s="68" t="s">
        <v>162</v>
      </c>
      <c r="C686" s="69" t="s">
        <v>719</v>
      </c>
      <c r="D686" s="117" t="s">
        <v>56</v>
      </c>
      <c r="E686" s="447">
        <f>ELÉTRICO!E30</f>
        <v>3</v>
      </c>
      <c r="F686" s="201">
        <v>965.38</v>
      </c>
      <c r="G686" s="201">
        <f t="shared" si="216"/>
        <v>1223.426074</v>
      </c>
      <c r="H686" s="201">
        <f t="shared" si="217"/>
        <v>3670.27</v>
      </c>
    </row>
    <row r="687" spans="1:8" ht="63" outlineLevel="2" x14ac:dyDescent="0.25">
      <c r="A687" s="68" t="s">
        <v>2478</v>
      </c>
      <c r="B687" s="68" t="s">
        <v>283</v>
      </c>
      <c r="C687" s="69" t="s">
        <v>720</v>
      </c>
      <c r="D687" s="117" t="s">
        <v>56</v>
      </c>
      <c r="E687" s="447">
        <f>ELÉTRICO!E31</f>
        <v>3</v>
      </c>
      <c r="F687" s="201">
        <v>1176.17</v>
      </c>
      <c r="G687" s="201">
        <f t="shared" si="216"/>
        <v>1490.5602410000001</v>
      </c>
      <c r="H687" s="201">
        <f t="shared" si="217"/>
        <v>4471.68</v>
      </c>
    </row>
    <row r="688" spans="1:8" s="71" customFormat="1" ht="63" outlineLevel="2" x14ac:dyDescent="0.25">
      <c r="A688" s="68" t="s">
        <v>2479</v>
      </c>
      <c r="B688" s="68" t="s">
        <v>924</v>
      </c>
      <c r="C688" s="69" t="s">
        <v>2911</v>
      </c>
      <c r="D688" s="117" t="s">
        <v>56</v>
      </c>
      <c r="E688" s="447">
        <f>ELÉTRICO!E32</f>
        <v>1</v>
      </c>
      <c r="F688" s="201">
        <v>1288.07</v>
      </c>
      <c r="G688" s="201">
        <f t="shared" si="216"/>
        <v>1632.3711109999999</v>
      </c>
      <c r="H688" s="201">
        <f t="shared" si="217"/>
        <v>1632.37</v>
      </c>
    </row>
    <row r="689" spans="1:8" s="71" customFormat="1" ht="31.5" outlineLevel="2" x14ac:dyDescent="0.25">
      <c r="A689" s="68" t="s">
        <v>2480</v>
      </c>
      <c r="B689" s="226" t="s">
        <v>2553</v>
      </c>
      <c r="C689" s="69" t="s">
        <v>1817</v>
      </c>
      <c r="D689" s="165" t="s">
        <v>99</v>
      </c>
      <c r="E689" s="447">
        <f>ELÉTRICO!E33</f>
        <v>6</v>
      </c>
      <c r="F689" s="221">
        <v>47.15</v>
      </c>
      <c r="G689" s="201">
        <f t="shared" ref="G689:G690" si="220">F689*(1+$E$2)</f>
        <v>59.753195000000005</v>
      </c>
      <c r="H689" s="201">
        <f t="shared" ref="H689:H690" si="221">TRUNC((G689*E689),2)</f>
        <v>358.51</v>
      </c>
    </row>
    <row r="690" spans="1:8" s="71" customFormat="1" ht="47.25" outlineLevel="2" x14ac:dyDescent="0.25">
      <c r="A690" s="68" t="s">
        <v>2481</v>
      </c>
      <c r="B690" s="226" t="s">
        <v>2556</v>
      </c>
      <c r="C690" s="69" t="s">
        <v>1818</v>
      </c>
      <c r="D690" s="165" t="s">
        <v>99</v>
      </c>
      <c r="E690" s="447">
        <f>ELÉTRICO!E34</f>
        <v>3</v>
      </c>
      <c r="F690" s="221">
        <v>84.29</v>
      </c>
      <c r="G690" s="201">
        <f t="shared" si="220"/>
        <v>106.82071700000002</v>
      </c>
      <c r="H690" s="201">
        <f t="shared" si="221"/>
        <v>320.45999999999998</v>
      </c>
    </row>
    <row r="691" spans="1:8" ht="31.5" outlineLevel="2" x14ac:dyDescent="0.25">
      <c r="A691" s="68" t="s">
        <v>2482</v>
      </c>
      <c r="B691" s="68" t="s">
        <v>2912</v>
      </c>
      <c r="C691" s="69" t="s">
        <v>721</v>
      </c>
      <c r="D691" s="117" t="s">
        <v>56</v>
      </c>
      <c r="E691" s="447">
        <f>ELÉTRICO!E35</f>
        <v>16</v>
      </c>
      <c r="F691" s="201">
        <v>7.82</v>
      </c>
      <c r="G691" s="201">
        <f t="shared" si="216"/>
        <v>9.910286000000001</v>
      </c>
      <c r="H691" s="201">
        <f t="shared" si="217"/>
        <v>158.56</v>
      </c>
    </row>
    <row r="692" spans="1:8" ht="31.5" outlineLevel="2" x14ac:dyDescent="0.25">
      <c r="A692" s="68" t="s">
        <v>2483</v>
      </c>
      <c r="B692" s="68" t="s">
        <v>2913</v>
      </c>
      <c r="C692" s="69" t="s">
        <v>2914</v>
      </c>
      <c r="D692" s="117" t="s">
        <v>56</v>
      </c>
      <c r="E692" s="447">
        <f>ELÉTRICO!E36</f>
        <v>2</v>
      </c>
      <c r="F692" s="201">
        <v>8.24</v>
      </c>
      <c r="G692" s="201">
        <f t="shared" si="216"/>
        <v>10.442552000000001</v>
      </c>
      <c r="H692" s="201">
        <f t="shared" si="217"/>
        <v>20.88</v>
      </c>
    </row>
    <row r="693" spans="1:8" ht="31.5" outlineLevel="2" x14ac:dyDescent="0.25">
      <c r="A693" s="68" t="s">
        <v>2484</v>
      </c>
      <c r="B693" s="68" t="s">
        <v>2915</v>
      </c>
      <c r="C693" s="69" t="s">
        <v>722</v>
      </c>
      <c r="D693" s="117" t="s">
        <v>56</v>
      </c>
      <c r="E693" s="447">
        <f>ELÉTRICO!E37</f>
        <v>2</v>
      </c>
      <c r="F693" s="201">
        <v>8.93</v>
      </c>
      <c r="G693" s="201">
        <f t="shared" si="216"/>
        <v>11.316989000000001</v>
      </c>
      <c r="H693" s="201">
        <f t="shared" si="217"/>
        <v>22.63</v>
      </c>
    </row>
    <row r="694" spans="1:8" ht="31.5" outlineLevel="2" x14ac:dyDescent="0.25">
      <c r="A694" s="68" t="s">
        <v>2485</v>
      </c>
      <c r="B694" s="68" t="s">
        <v>2916</v>
      </c>
      <c r="C694" s="69" t="s">
        <v>723</v>
      </c>
      <c r="D694" s="117" t="s">
        <v>56</v>
      </c>
      <c r="E694" s="447">
        <f>ELÉTRICO!E38</f>
        <v>1</v>
      </c>
      <c r="F694" s="201">
        <v>8.93</v>
      </c>
      <c r="G694" s="201">
        <f t="shared" si="216"/>
        <v>11.316989000000001</v>
      </c>
      <c r="H694" s="201">
        <f t="shared" si="217"/>
        <v>11.31</v>
      </c>
    </row>
    <row r="695" spans="1:8" ht="31.5" outlineLevel="2" x14ac:dyDescent="0.25">
      <c r="A695" s="68" t="s">
        <v>2486</v>
      </c>
      <c r="B695" s="68" t="s">
        <v>2917</v>
      </c>
      <c r="C695" s="69" t="s">
        <v>724</v>
      </c>
      <c r="D695" s="117" t="s">
        <v>56</v>
      </c>
      <c r="E695" s="447">
        <f>ELÉTRICO!E39</f>
        <v>16</v>
      </c>
      <c r="F695" s="201">
        <v>39.35</v>
      </c>
      <c r="G695" s="201">
        <f t="shared" si="216"/>
        <v>49.868255000000005</v>
      </c>
      <c r="H695" s="201">
        <f t="shared" si="217"/>
        <v>797.89</v>
      </c>
    </row>
    <row r="696" spans="1:8" ht="31.5" outlineLevel="2" x14ac:dyDescent="0.25">
      <c r="A696" s="68" t="s">
        <v>2487</v>
      </c>
      <c r="B696" s="68" t="s">
        <v>2918</v>
      </c>
      <c r="C696" s="69" t="s">
        <v>2919</v>
      </c>
      <c r="D696" s="117" t="s">
        <v>56</v>
      </c>
      <c r="E696" s="447">
        <f>ELÉTRICO!E40</f>
        <v>3</v>
      </c>
      <c r="F696" s="201">
        <v>40.15</v>
      </c>
      <c r="G696" s="201">
        <f t="shared" si="216"/>
        <v>50.882095</v>
      </c>
      <c r="H696" s="201">
        <f t="shared" si="217"/>
        <v>152.63999999999999</v>
      </c>
    </row>
    <row r="697" spans="1:8" ht="31.5" outlineLevel="2" x14ac:dyDescent="0.25">
      <c r="A697" s="68" t="s">
        <v>2488</v>
      </c>
      <c r="B697" s="68" t="s">
        <v>2920</v>
      </c>
      <c r="C697" s="69" t="s">
        <v>725</v>
      </c>
      <c r="D697" s="117" t="s">
        <v>56</v>
      </c>
      <c r="E697" s="447">
        <f>ELÉTRICO!E41</f>
        <v>61</v>
      </c>
      <c r="F697" s="201">
        <v>41.6</v>
      </c>
      <c r="G697" s="201">
        <f t="shared" si="216"/>
        <v>52.719680000000004</v>
      </c>
      <c r="H697" s="201">
        <f t="shared" si="217"/>
        <v>3215.9</v>
      </c>
    </row>
    <row r="698" spans="1:8" ht="31.5" outlineLevel="2" x14ac:dyDescent="0.25">
      <c r="A698" s="68" t="s">
        <v>2489</v>
      </c>
      <c r="B698" s="68" t="s">
        <v>2921</v>
      </c>
      <c r="C698" s="69" t="s">
        <v>1813</v>
      </c>
      <c r="D698" s="117" t="s">
        <v>56</v>
      </c>
      <c r="E698" s="447">
        <f>ELÉTRICO!E42</f>
        <v>1</v>
      </c>
      <c r="F698" s="201">
        <v>41.6</v>
      </c>
      <c r="G698" s="201">
        <f t="shared" si="216"/>
        <v>52.719680000000004</v>
      </c>
      <c r="H698" s="201">
        <f t="shared" si="217"/>
        <v>52.71</v>
      </c>
    </row>
    <row r="699" spans="1:8" ht="31.5" outlineLevel="2" x14ac:dyDescent="0.25">
      <c r="A699" s="68" t="s">
        <v>2490</v>
      </c>
      <c r="B699" s="68" t="s">
        <v>2922</v>
      </c>
      <c r="C699" s="69" t="s">
        <v>1814</v>
      </c>
      <c r="D699" s="117" t="s">
        <v>56</v>
      </c>
      <c r="E699" s="447">
        <f>ELÉTRICO!E43</f>
        <v>2</v>
      </c>
      <c r="F699" s="201">
        <v>43.35</v>
      </c>
      <c r="G699" s="201">
        <f t="shared" ref="G699" si="222">F699*(1+$E$2)</f>
        <v>54.937455000000007</v>
      </c>
      <c r="H699" s="201">
        <f t="shared" ref="H699" si="223">TRUNC((G699*E699),2)</f>
        <v>109.87</v>
      </c>
    </row>
    <row r="700" spans="1:8" ht="31.5" outlineLevel="2" x14ac:dyDescent="0.25">
      <c r="A700" s="68" t="s">
        <v>2491</v>
      </c>
      <c r="B700" s="68" t="s">
        <v>2923</v>
      </c>
      <c r="C700" s="69" t="s">
        <v>2924</v>
      </c>
      <c r="D700" s="117" t="s">
        <v>56</v>
      </c>
      <c r="E700" s="447">
        <f>ELÉTRICO!E44</f>
        <v>2</v>
      </c>
      <c r="F700" s="201">
        <v>55.03</v>
      </c>
      <c r="G700" s="201">
        <f t="shared" si="216"/>
        <v>69.739519000000001</v>
      </c>
      <c r="H700" s="201">
        <f t="shared" si="217"/>
        <v>139.47</v>
      </c>
    </row>
    <row r="701" spans="1:8" s="71" customFormat="1" ht="31.5" outlineLevel="2" x14ac:dyDescent="0.25">
      <c r="A701" s="68" t="s">
        <v>2492</v>
      </c>
      <c r="B701" s="68" t="s">
        <v>909</v>
      </c>
      <c r="C701" s="69" t="s">
        <v>910</v>
      </c>
      <c r="D701" s="117" t="s">
        <v>56</v>
      </c>
      <c r="E701" s="447">
        <f>ELÉTRICO!E45</f>
        <v>4</v>
      </c>
      <c r="F701" s="201">
        <v>73.83</v>
      </c>
      <c r="G701" s="201">
        <f t="shared" si="216"/>
        <v>93.564759000000009</v>
      </c>
      <c r="H701" s="201">
        <f t="shared" si="217"/>
        <v>374.25</v>
      </c>
    </row>
    <row r="702" spans="1:8" ht="47.25" outlineLevel="2" x14ac:dyDescent="0.25">
      <c r="A702" s="68" t="s">
        <v>2493</v>
      </c>
      <c r="B702" s="68" t="s">
        <v>161</v>
      </c>
      <c r="C702" s="69" t="s">
        <v>726</v>
      </c>
      <c r="D702" s="117" t="s">
        <v>56</v>
      </c>
      <c r="E702" s="447">
        <f>ELÉTRICO!E46</f>
        <v>12</v>
      </c>
      <c r="F702" s="201">
        <v>90.56</v>
      </c>
      <c r="G702" s="201">
        <f t="shared" si="216"/>
        <v>114.76668800000002</v>
      </c>
      <c r="H702" s="201">
        <f t="shared" si="217"/>
        <v>1377.2</v>
      </c>
    </row>
    <row r="703" spans="1:8" ht="47.25" outlineLevel="2" x14ac:dyDescent="0.25">
      <c r="A703" s="68" t="s">
        <v>2494</v>
      </c>
      <c r="B703" s="68" t="s">
        <v>284</v>
      </c>
      <c r="C703" s="69" t="s">
        <v>727</v>
      </c>
      <c r="D703" s="117" t="s">
        <v>56</v>
      </c>
      <c r="E703" s="447">
        <f>ELÉTRICO!E47</f>
        <v>4</v>
      </c>
      <c r="F703" s="201">
        <v>255.96</v>
      </c>
      <c r="G703" s="201">
        <f t="shared" si="216"/>
        <v>324.37810800000005</v>
      </c>
      <c r="H703" s="201">
        <f t="shared" si="217"/>
        <v>1297.51</v>
      </c>
    </row>
    <row r="704" spans="1:8" ht="31.5" outlineLevel="2" x14ac:dyDescent="0.25">
      <c r="A704" s="68" t="s">
        <v>2495</v>
      </c>
      <c r="B704" s="68" t="s">
        <v>353</v>
      </c>
      <c r="C704" s="69" t="s">
        <v>728</v>
      </c>
      <c r="D704" s="117" t="s">
        <v>56</v>
      </c>
      <c r="E704" s="447">
        <f>ELÉTRICO!E48</f>
        <v>1</v>
      </c>
      <c r="F704" s="201">
        <v>903.26</v>
      </c>
      <c r="G704" s="201">
        <f t="shared" si="216"/>
        <v>1144.7013980000002</v>
      </c>
      <c r="H704" s="201">
        <f t="shared" si="217"/>
        <v>1144.7</v>
      </c>
    </row>
    <row r="705" spans="1:8" ht="47.25" outlineLevel="2" x14ac:dyDescent="0.25">
      <c r="A705" s="68" t="s">
        <v>2496</v>
      </c>
      <c r="B705" s="226" t="s">
        <v>2925</v>
      </c>
      <c r="C705" s="69" t="s">
        <v>729</v>
      </c>
      <c r="D705" s="165" t="s">
        <v>99</v>
      </c>
      <c r="E705" s="447">
        <f>ELÉTRICO!E49</f>
        <v>1455</v>
      </c>
      <c r="F705" s="201">
        <v>6.81</v>
      </c>
      <c r="G705" s="201">
        <f t="shared" si="216"/>
        <v>8.630313000000001</v>
      </c>
      <c r="H705" s="201">
        <f t="shared" si="217"/>
        <v>12557.1</v>
      </c>
    </row>
    <row r="706" spans="1:8" ht="47.25" outlineLevel="2" x14ac:dyDescent="0.25">
      <c r="A706" s="68" t="s">
        <v>2497</v>
      </c>
      <c r="B706" s="226" t="s">
        <v>285</v>
      </c>
      <c r="C706" s="69" t="s">
        <v>730</v>
      </c>
      <c r="D706" s="165" t="s">
        <v>99</v>
      </c>
      <c r="E706" s="447">
        <f>ELÉTRICO!E50</f>
        <v>576</v>
      </c>
      <c r="F706" s="201">
        <v>38.92</v>
      </c>
      <c r="G706" s="201">
        <f t="shared" si="216"/>
        <v>49.323316000000005</v>
      </c>
      <c r="H706" s="201">
        <f t="shared" si="217"/>
        <v>28410.23</v>
      </c>
    </row>
    <row r="707" spans="1:8" ht="47.25" outlineLevel="2" x14ac:dyDescent="0.25">
      <c r="A707" s="68" t="s">
        <v>2498</v>
      </c>
      <c r="B707" s="226" t="s">
        <v>286</v>
      </c>
      <c r="C707" s="69" t="s">
        <v>731</v>
      </c>
      <c r="D707" s="165" t="s">
        <v>99</v>
      </c>
      <c r="E707" s="447">
        <f>ELÉTRICO!E51</f>
        <v>303</v>
      </c>
      <c r="F707" s="201">
        <v>24.24</v>
      </c>
      <c r="G707" s="201">
        <f t="shared" si="216"/>
        <v>30.719352000000001</v>
      </c>
      <c r="H707" s="201">
        <f t="shared" si="217"/>
        <v>9307.9599999999991</v>
      </c>
    </row>
    <row r="708" spans="1:8" ht="47.25" outlineLevel="2" x14ac:dyDescent="0.25">
      <c r="A708" s="68" t="s">
        <v>2499</v>
      </c>
      <c r="B708" s="226" t="s">
        <v>2926</v>
      </c>
      <c r="C708" s="69" t="s">
        <v>732</v>
      </c>
      <c r="D708" s="165" t="s">
        <v>99</v>
      </c>
      <c r="E708" s="447">
        <f>ELÉTRICO!E52+LÓGICA!D10</f>
        <v>406</v>
      </c>
      <c r="F708" s="201">
        <v>7.3</v>
      </c>
      <c r="G708" s="201">
        <f t="shared" si="216"/>
        <v>9.2512900000000009</v>
      </c>
      <c r="H708" s="201">
        <f t="shared" si="217"/>
        <v>3756.02</v>
      </c>
    </row>
    <row r="709" spans="1:8" ht="47.25" outlineLevel="2" x14ac:dyDescent="0.25">
      <c r="A709" s="68" t="s">
        <v>2500</v>
      </c>
      <c r="B709" s="226" t="s">
        <v>2927</v>
      </c>
      <c r="C709" s="69" t="s">
        <v>2616</v>
      </c>
      <c r="D709" s="165" t="s">
        <v>99</v>
      </c>
      <c r="E709" s="447">
        <f>LÓGICA!D8</f>
        <v>70</v>
      </c>
      <c r="F709" s="201">
        <v>3.97</v>
      </c>
      <c r="G709" s="201">
        <f t="shared" ref="G709" si="224">F709*(1+$E$2)</f>
        <v>5.031181000000001</v>
      </c>
      <c r="H709" s="201">
        <f t="shared" ref="H709" si="225">TRUNC((G709*E709),2)</f>
        <v>352.18</v>
      </c>
    </row>
    <row r="710" spans="1:8" ht="47.25" outlineLevel="2" x14ac:dyDescent="0.25">
      <c r="A710" s="68" t="s">
        <v>2501</v>
      </c>
      <c r="B710" s="115" t="s">
        <v>2928</v>
      </c>
      <c r="C710" s="116" t="s">
        <v>1689</v>
      </c>
      <c r="D710" s="115" t="s">
        <v>99</v>
      </c>
      <c r="E710" s="445">
        <f>LÓGICA!D9</f>
        <v>146</v>
      </c>
      <c r="F710" s="210">
        <v>7.52</v>
      </c>
      <c r="G710" s="221">
        <f t="shared" si="216"/>
        <v>9.5300960000000003</v>
      </c>
      <c r="H710" s="221">
        <f t="shared" si="217"/>
        <v>1391.39</v>
      </c>
    </row>
    <row r="711" spans="1:8" s="71" customFormat="1" ht="47.25" outlineLevel="2" x14ac:dyDescent="0.25">
      <c r="A711" s="68" t="s">
        <v>2502</v>
      </c>
      <c r="B711" s="226" t="s">
        <v>2562</v>
      </c>
      <c r="C711" s="246" t="s">
        <v>1649</v>
      </c>
      <c r="D711" s="68" t="s">
        <v>99</v>
      </c>
      <c r="E711" s="70">
        <f>LÓGICA!D11</f>
        <v>16</v>
      </c>
      <c r="F711" s="221">
        <v>8.18</v>
      </c>
      <c r="G711" s="201">
        <f t="shared" si="216"/>
        <v>10.366514</v>
      </c>
      <c r="H711" s="201">
        <f t="shared" si="217"/>
        <v>165.86</v>
      </c>
    </row>
    <row r="712" spans="1:8" ht="47.25" outlineLevel="2" x14ac:dyDescent="0.25">
      <c r="A712" s="68" t="s">
        <v>2503</v>
      </c>
      <c r="B712" s="115" t="s">
        <v>2929</v>
      </c>
      <c r="C712" s="116" t="s">
        <v>2930</v>
      </c>
      <c r="D712" s="163" t="s">
        <v>56</v>
      </c>
      <c r="E712" s="445">
        <f>LÓGICA!D12</f>
        <v>12</v>
      </c>
      <c r="F712" s="210">
        <v>17.09</v>
      </c>
      <c r="G712" s="221">
        <f t="shared" si="216"/>
        <v>21.658157000000003</v>
      </c>
      <c r="H712" s="221">
        <f t="shared" si="217"/>
        <v>259.89</v>
      </c>
    </row>
    <row r="713" spans="1:8" ht="47.25" outlineLevel="2" x14ac:dyDescent="0.25">
      <c r="A713" s="68" t="s">
        <v>2504</v>
      </c>
      <c r="B713" s="115" t="s">
        <v>2931</v>
      </c>
      <c r="C713" s="116" t="s">
        <v>2932</v>
      </c>
      <c r="D713" s="163" t="s">
        <v>56</v>
      </c>
      <c r="E713" s="445">
        <f>LÓGICA!D14</f>
        <v>1</v>
      </c>
      <c r="F713" s="210">
        <v>170.6</v>
      </c>
      <c r="G713" s="221">
        <f t="shared" ref="G713" si="226">F713*(1+$E$2)</f>
        <v>216.20138</v>
      </c>
      <c r="H713" s="221">
        <f t="shared" ref="H713" si="227">TRUNC((G713*E713),2)</f>
        <v>216.2</v>
      </c>
    </row>
    <row r="714" spans="1:8" outlineLevel="2" x14ac:dyDescent="0.25">
      <c r="A714" s="68" t="s">
        <v>2505</v>
      </c>
      <c r="B714" s="226" t="s">
        <v>2933</v>
      </c>
      <c r="C714" s="69" t="s">
        <v>1816</v>
      </c>
      <c r="D714" s="165" t="s">
        <v>56</v>
      </c>
      <c r="E714" s="447">
        <f>ELÉTRICO!E53</f>
        <v>3</v>
      </c>
      <c r="F714" s="201">
        <v>367.28</v>
      </c>
      <c r="G714" s="201">
        <f t="shared" ref="G714" si="228">F714*(1+$E$2)</f>
        <v>465.45394399999998</v>
      </c>
      <c r="H714" s="201">
        <f t="shared" ref="H714" si="229">TRUNC((G714*E714),2)</f>
        <v>1396.36</v>
      </c>
    </row>
    <row r="715" spans="1:8" outlineLevel="2" x14ac:dyDescent="0.25">
      <c r="A715" s="68" t="s">
        <v>2506</v>
      </c>
      <c r="B715" s="68" t="s">
        <v>2934</v>
      </c>
      <c r="C715" s="69" t="s">
        <v>733</v>
      </c>
      <c r="D715" s="117" t="s">
        <v>56</v>
      </c>
      <c r="E715" s="447">
        <f>ELÉTRICO!E54</f>
        <v>23</v>
      </c>
      <c r="F715" s="201">
        <v>308.42</v>
      </c>
      <c r="G715" s="201">
        <f t="shared" si="216"/>
        <v>390.86066600000004</v>
      </c>
      <c r="H715" s="201">
        <f t="shared" si="217"/>
        <v>8989.7900000000009</v>
      </c>
    </row>
    <row r="716" spans="1:8" s="71" customFormat="1" outlineLevel="2" x14ac:dyDescent="0.25">
      <c r="A716" s="68" t="s">
        <v>2507</v>
      </c>
      <c r="B716" s="68" t="s">
        <v>2935</v>
      </c>
      <c r="C716" s="69" t="s">
        <v>734</v>
      </c>
      <c r="D716" s="117" t="s">
        <v>56</v>
      </c>
      <c r="E716" s="447">
        <f>ELÉTRICO!E55</f>
        <v>37</v>
      </c>
      <c r="F716" s="201">
        <v>144.79</v>
      </c>
      <c r="G716" s="201">
        <f t="shared" si="216"/>
        <v>183.492367</v>
      </c>
      <c r="H716" s="201">
        <f t="shared" si="217"/>
        <v>6789.21</v>
      </c>
    </row>
    <row r="717" spans="1:8" s="71" customFormat="1" ht="31.5" outlineLevel="2" x14ac:dyDescent="0.25">
      <c r="A717" s="68" t="s">
        <v>2508</v>
      </c>
      <c r="B717" s="68" t="s">
        <v>2936</v>
      </c>
      <c r="C717" s="69" t="s">
        <v>914</v>
      </c>
      <c r="D717" s="117" t="s">
        <v>56</v>
      </c>
      <c r="E717" s="447">
        <f>ELÉTRICO!E56</f>
        <v>46</v>
      </c>
      <c r="F717" s="201">
        <v>1327.34</v>
      </c>
      <c r="G717" s="201">
        <f t="shared" si="216"/>
        <v>1682.137982</v>
      </c>
      <c r="H717" s="201">
        <f t="shared" si="217"/>
        <v>77378.34</v>
      </c>
    </row>
    <row r="718" spans="1:8" s="71" customFormat="1" ht="47.25" outlineLevel="2" x14ac:dyDescent="0.25">
      <c r="A718" s="68" t="s">
        <v>2509</v>
      </c>
      <c r="B718" s="68" t="s">
        <v>3338</v>
      </c>
      <c r="C718" s="69" t="s">
        <v>906</v>
      </c>
      <c r="D718" s="117" t="s">
        <v>56</v>
      </c>
      <c r="E718" s="447">
        <f>ELÉTRICO!E57</f>
        <v>34</v>
      </c>
      <c r="F718" s="201">
        <v>1265.95</v>
      </c>
      <c r="G718" s="201">
        <f t="shared" ref="G718" si="230">F718*(1+$E$2)</f>
        <v>1604.3384350000001</v>
      </c>
      <c r="H718" s="201">
        <f t="shared" ref="H718" si="231">TRUNC((G718*E718),2)</f>
        <v>54547.5</v>
      </c>
    </row>
    <row r="719" spans="1:8" ht="31.5" outlineLevel="2" x14ac:dyDescent="0.25">
      <c r="A719" s="68" t="s">
        <v>2510</v>
      </c>
      <c r="B719" s="68" t="s">
        <v>3077</v>
      </c>
      <c r="C719" s="69" t="s">
        <v>3076</v>
      </c>
      <c r="D719" s="117" t="s">
        <v>75</v>
      </c>
      <c r="E719" s="447">
        <f>ELÉTRICO!E58</f>
        <v>180</v>
      </c>
      <c r="F719" s="201">
        <v>31.02</v>
      </c>
      <c r="G719" s="201">
        <f t="shared" ref="G719" si="232">F719*(1+$E$2)</f>
        <v>39.311646000000003</v>
      </c>
      <c r="H719" s="201">
        <f t="shared" ref="H719" si="233">TRUNC((G719*E719),2)</f>
        <v>7076.09</v>
      </c>
    </row>
    <row r="720" spans="1:8" ht="47.25" outlineLevel="2" x14ac:dyDescent="0.25">
      <c r="A720" s="68" t="s">
        <v>2511</v>
      </c>
      <c r="B720" s="68">
        <v>91996</v>
      </c>
      <c r="C720" s="69" t="s">
        <v>3079</v>
      </c>
      <c r="D720" s="117" t="s">
        <v>961</v>
      </c>
      <c r="E720" s="447">
        <f>ELÉTRICO!E59</f>
        <v>25</v>
      </c>
      <c r="F720" s="201">
        <v>18.850000000000001</v>
      </c>
      <c r="G720" s="201">
        <f t="shared" ref="G720:G727" si="234">F720*(1+$E$2)</f>
        <v>23.888605000000002</v>
      </c>
      <c r="H720" s="201">
        <f t="shared" ref="H720:H727" si="235">TRUNC((G720*E720),2)</f>
        <v>597.21</v>
      </c>
    </row>
    <row r="721" spans="1:8" s="71" customFormat="1" ht="47.25" outlineLevel="2" x14ac:dyDescent="0.25">
      <c r="A721" s="68" t="s">
        <v>2617</v>
      </c>
      <c r="B721" s="68">
        <v>91992</v>
      </c>
      <c r="C721" s="69" t="s">
        <v>3082</v>
      </c>
      <c r="D721" s="117" t="s">
        <v>961</v>
      </c>
      <c r="E721" s="447">
        <f>ELÉTRICO!E60</f>
        <v>42</v>
      </c>
      <c r="F721" s="201">
        <v>24.88</v>
      </c>
      <c r="G721" s="201">
        <f t="shared" si="234"/>
        <v>31.530424</v>
      </c>
      <c r="H721" s="201">
        <f t="shared" si="235"/>
        <v>1324.27</v>
      </c>
    </row>
    <row r="722" spans="1:8" s="71" customFormat="1" ht="47.25" outlineLevel="2" x14ac:dyDescent="0.25">
      <c r="A722" s="68" t="s">
        <v>2618</v>
      </c>
      <c r="B722" s="68">
        <v>91993</v>
      </c>
      <c r="C722" s="69" t="s">
        <v>3083</v>
      </c>
      <c r="D722" s="117" t="s">
        <v>961</v>
      </c>
      <c r="E722" s="447">
        <f>ELÉTRICO!E61</f>
        <v>56</v>
      </c>
      <c r="F722" s="201">
        <v>26.09</v>
      </c>
      <c r="G722" s="201">
        <f t="shared" si="234"/>
        <v>33.063856999999999</v>
      </c>
      <c r="H722" s="201">
        <f t="shared" si="235"/>
        <v>1851.57</v>
      </c>
    </row>
    <row r="723" spans="1:8" s="71" customFormat="1" ht="47.25" outlineLevel="2" x14ac:dyDescent="0.25">
      <c r="A723" s="68" t="s">
        <v>2619</v>
      </c>
      <c r="B723" s="68">
        <v>91940</v>
      </c>
      <c r="C723" s="69" t="s">
        <v>742</v>
      </c>
      <c r="D723" s="117" t="s">
        <v>961</v>
      </c>
      <c r="E723" s="447">
        <f>ELÉTRICO!E62</f>
        <v>68</v>
      </c>
      <c r="F723" s="201">
        <v>9.86</v>
      </c>
      <c r="G723" s="201">
        <f t="shared" si="234"/>
        <v>12.495578</v>
      </c>
      <c r="H723" s="201">
        <f t="shared" si="235"/>
        <v>849.69</v>
      </c>
    </row>
    <row r="724" spans="1:8" s="71" customFormat="1" ht="47.25" outlineLevel="2" x14ac:dyDescent="0.25">
      <c r="A724" s="68" t="s">
        <v>2620</v>
      </c>
      <c r="B724" s="68">
        <v>91939</v>
      </c>
      <c r="C724" s="69" t="s">
        <v>3084</v>
      </c>
      <c r="D724" s="117" t="s">
        <v>961</v>
      </c>
      <c r="E724" s="447">
        <f>ELÉTRICO!E63</f>
        <v>111</v>
      </c>
      <c r="F724" s="201">
        <v>18.59</v>
      </c>
      <c r="G724" s="201">
        <f t="shared" si="234"/>
        <v>23.559107000000001</v>
      </c>
      <c r="H724" s="201">
        <f t="shared" si="235"/>
        <v>2615.06</v>
      </c>
    </row>
    <row r="725" spans="1:8" s="71" customFormat="1" ht="47.25" outlineLevel="2" x14ac:dyDescent="0.25">
      <c r="A725" s="68" t="s">
        <v>2621</v>
      </c>
      <c r="B725" s="68">
        <v>91856</v>
      </c>
      <c r="C725" s="69" t="s">
        <v>1652</v>
      </c>
      <c r="D725" s="117" t="s">
        <v>75</v>
      </c>
      <c r="E725" s="447">
        <f>ELÉTRICO!E64</f>
        <v>605</v>
      </c>
      <c r="F725" s="201">
        <v>7.12</v>
      </c>
      <c r="G725" s="201">
        <f t="shared" si="234"/>
        <v>9.0231760000000012</v>
      </c>
      <c r="H725" s="201">
        <f t="shared" si="235"/>
        <v>5459.02</v>
      </c>
    </row>
    <row r="726" spans="1:8" ht="47.25" outlineLevel="2" x14ac:dyDescent="0.25">
      <c r="A726" s="68" t="s">
        <v>2684</v>
      </c>
      <c r="B726" s="68">
        <v>91844</v>
      </c>
      <c r="C726" s="69" t="s">
        <v>2616</v>
      </c>
      <c r="D726" s="117" t="s">
        <v>75</v>
      </c>
      <c r="E726" s="447">
        <f>ELÉTRICO!E65</f>
        <v>118</v>
      </c>
      <c r="F726" s="201">
        <v>3.97</v>
      </c>
      <c r="G726" s="201">
        <f t="shared" si="234"/>
        <v>5.031181000000001</v>
      </c>
      <c r="H726" s="201">
        <f t="shared" si="235"/>
        <v>593.66999999999996</v>
      </c>
    </row>
    <row r="727" spans="1:8" ht="47.25" outlineLevel="2" x14ac:dyDescent="0.25">
      <c r="A727" s="68" t="s">
        <v>3078</v>
      </c>
      <c r="B727" s="68" t="s">
        <v>2562</v>
      </c>
      <c r="C727" s="69" t="s">
        <v>1649</v>
      </c>
      <c r="D727" s="117" t="s">
        <v>75</v>
      </c>
      <c r="E727" s="447">
        <f>ELÉTRICO!E66</f>
        <v>190</v>
      </c>
      <c r="F727" s="201">
        <v>8.18</v>
      </c>
      <c r="G727" s="201">
        <f t="shared" si="234"/>
        <v>10.366514</v>
      </c>
      <c r="H727" s="201">
        <f t="shared" si="235"/>
        <v>1969.63</v>
      </c>
    </row>
    <row r="728" spans="1:8" ht="47.25" outlineLevel="2" x14ac:dyDescent="0.25">
      <c r="A728" s="68" t="s">
        <v>3080</v>
      </c>
      <c r="B728" s="68" t="s">
        <v>285</v>
      </c>
      <c r="C728" s="69" t="s">
        <v>730</v>
      </c>
      <c r="D728" s="117" t="s">
        <v>75</v>
      </c>
      <c r="E728" s="447">
        <f>ELÉTRICO!E67</f>
        <v>211</v>
      </c>
      <c r="F728" s="201">
        <v>38.92</v>
      </c>
      <c r="G728" s="201">
        <f t="shared" ref="G728" si="236">F728*(1+$E$2)</f>
        <v>49.323316000000005</v>
      </c>
      <c r="H728" s="201">
        <f t="shared" ref="H728" si="237">TRUNC((G728*E728),2)</f>
        <v>10407.209999999999</v>
      </c>
    </row>
    <row r="729" spans="1:8" ht="31.5" outlineLevel="2" x14ac:dyDescent="0.25">
      <c r="A729" s="68" t="s">
        <v>3081</v>
      </c>
      <c r="B729" s="68">
        <v>93657</v>
      </c>
      <c r="C729" s="69" t="s">
        <v>3189</v>
      </c>
      <c r="D729" s="117" t="s">
        <v>75</v>
      </c>
      <c r="E729" s="447">
        <f>ELÉTRICO!E68</f>
        <v>2</v>
      </c>
      <c r="F729" s="201">
        <v>9.82</v>
      </c>
      <c r="G729" s="201">
        <f t="shared" ref="G729" si="238">F729*(1+$E$2)</f>
        <v>12.444886000000002</v>
      </c>
      <c r="H729" s="201">
        <f t="shared" ref="H729" si="239">TRUNC((G729*E729),2)</f>
        <v>24.88</v>
      </c>
    </row>
    <row r="730" spans="1:8" outlineLevel="1" x14ac:dyDescent="0.25">
      <c r="A730" s="79"/>
      <c r="B730" s="79"/>
      <c r="C730" s="80" t="s">
        <v>14</v>
      </c>
      <c r="D730" s="79"/>
      <c r="E730" s="81"/>
      <c r="F730" s="203"/>
      <c r="G730" s="218"/>
      <c r="H730" s="218">
        <f>SUM(H662:H729)</f>
        <v>453953.23000000016</v>
      </c>
    </row>
    <row r="731" spans="1:8" ht="31.5" outlineLevel="1" x14ac:dyDescent="0.25">
      <c r="A731" s="173" t="s">
        <v>974</v>
      </c>
      <c r="B731" s="173"/>
      <c r="C731" s="174" t="s">
        <v>163</v>
      </c>
      <c r="D731" s="173"/>
      <c r="E731" s="176"/>
      <c r="F731" s="206"/>
      <c r="G731" s="219"/>
      <c r="H731" s="206"/>
    </row>
    <row r="732" spans="1:8" s="71" customFormat="1" ht="31.5" outlineLevel="2" x14ac:dyDescent="0.25">
      <c r="A732" s="68" t="s">
        <v>1106</v>
      </c>
      <c r="B732" s="115" t="s">
        <v>1670</v>
      </c>
      <c r="C732" s="116" t="s">
        <v>1671</v>
      </c>
      <c r="D732" s="117" t="s">
        <v>56</v>
      </c>
      <c r="E732" s="445">
        <f>SPDA!E6</f>
        <v>95</v>
      </c>
      <c r="F732" s="207">
        <v>72.55</v>
      </c>
      <c r="G732" s="201">
        <f t="shared" ref="G732:G750" si="240">F732*(1+$E$2)</f>
        <v>91.942615000000004</v>
      </c>
      <c r="H732" s="201">
        <f t="shared" ref="H732:H750" si="241">TRUNC((G732*E732),2)</f>
        <v>8734.5400000000009</v>
      </c>
    </row>
    <row r="733" spans="1:8" ht="47.25" outlineLevel="2" x14ac:dyDescent="0.25">
      <c r="A733" s="68" t="s">
        <v>1107</v>
      </c>
      <c r="B733" s="163" t="s">
        <v>1674</v>
      </c>
      <c r="C733" s="164" t="s">
        <v>2937</v>
      </c>
      <c r="D733" s="163" t="s">
        <v>56</v>
      </c>
      <c r="E733" s="445">
        <f>SPDA!E7</f>
        <v>13</v>
      </c>
      <c r="F733" s="210">
        <v>21.5</v>
      </c>
      <c r="G733" s="221">
        <f t="shared" si="240"/>
        <v>27.246950000000002</v>
      </c>
      <c r="H733" s="221">
        <f t="shared" si="241"/>
        <v>354.21</v>
      </c>
    </row>
    <row r="734" spans="1:8" ht="31.5" outlineLevel="2" x14ac:dyDescent="0.25">
      <c r="A734" s="68" t="s">
        <v>2269</v>
      </c>
      <c r="B734" s="163" t="s">
        <v>935</v>
      </c>
      <c r="C734" s="164" t="s">
        <v>934</v>
      </c>
      <c r="D734" s="163" t="s">
        <v>56</v>
      </c>
      <c r="E734" s="445">
        <f>SPDA!E8</f>
        <v>569</v>
      </c>
      <c r="F734" s="210">
        <v>0.26</v>
      </c>
      <c r="G734" s="221">
        <f t="shared" ref="G734" si="242">F734*(1+$E$2)</f>
        <v>0.32949800000000001</v>
      </c>
      <c r="H734" s="221">
        <f t="shared" ref="H734" si="243">TRUNC((G734*E734),2)</f>
        <v>187.48</v>
      </c>
    </row>
    <row r="735" spans="1:8" s="71" customFormat="1" ht="31.5" outlineLevel="2" x14ac:dyDescent="0.25">
      <c r="A735" s="68" t="s">
        <v>2270</v>
      </c>
      <c r="B735" s="115" t="s">
        <v>2938</v>
      </c>
      <c r="C735" s="116" t="s">
        <v>737</v>
      </c>
      <c r="D735" s="117" t="s">
        <v>56</v>
      </c>
      <c r="E735" s="445">
        <f>SPDA!E9</f>
        <v>250</v>
      </c>
      <c r="F735" s="207">
        <v>21.54</v>
      </c>
      <c r="G735" s="217">
        <f>F735*(1+$E$2)</f>
        <v>27.297642</v>
      </c>
      <c r="H735" s="217">
        <f>TRUNC((G735*E735),2)</f>
        <v>6824.41</v>
      </c>
    </row>
    <row r="736" spans="1:8" s="71" customFormat="1" outlineLevel="2" x14ac:dyDescent="0.25">
      <c r="A736" s="68" t="s">
        <v>2271</v>
      </c>
      <c r="B736" s="163" t="s">
        <v>1680</v>
      </c>
      <c r="C736" s="116" t="s">
        <v>2939</v>
      </c>
      <c r="D736" s="117" t="s">
        <v>56</v>
      </c>
      <c r="E736" s="445">
        <f>SPDA!E10</f>
        <v>622</v>
      </c>
      <c r="F736" s="210">
        <v>6.41</v>
      </c>
      <c r="G736" s="217">
        <f t="shared" ref="G736" si="244">F736*(1+$E$2)</f>
        <v>8.1233930000000001</v>
      </c>
      <c r="H736" s="217">
        <f t="shared" ref="H736" si="245">TRUNC((G736*E736),2)</f>
        <v>5052.75</v>
      </c>
    </row>
    <row r="737" spans="1:8" s="71" customFormat="1" ht="31.5" outlineLevel="2" x14ac:dyDescent="0.25">
      <c r="A737" s="68" t="s">
        <v>2272</v>
      </c>
      <c r="B737" s="163" t="s">
        <v>932</v>
      </c>
      <c r="C737" s="164" t="s">
        <v>933</v>
      </c>
      <c r="D737" s="165" t="s">
        <v>56</v>
      </c>
      <c r="E737" s="445">
        <f>SPDA!E11</f>
        <v>58</v>
      </c>
      <c r="F737" s="210">
        <v>24.05</v>
      </c>
      <c r="G737" s="221">
        <f>F737*(1+$E$2)</f>
        <v>30.478565000000003</v>
      </c>
      <c r="H737" s="221">
        <f>TRUNC((G737*E737),2)</f>
        <v>1767.75</v>
      </c>
    </row>
    <row r="738" spans="1:8" s="278" customFormat="1" ht="31.5" outlineLevel="2" x14ac:dyDescent="0.25">
      <c r="A738" s="68" t="s">
        <v>2273</v>
      </c>
      <c r="B738" s="163" t="s">
        <v>2940</v>
      </c>
      <c r="C738" s="164" t="s">
        <v>735</v>
      </c>
      <c r="D738" s="165" t="s">
        <v>56</v>
      </c>
      <c r="E738" s="445">
        <f>SPDA!E12</f>
        <v>116</v>
      </c>
      <c r="F738" s="210">
        <v>12.18</v>
      </c>
      <c r="G738" s="221">
        <f t="shared" si="240"/>
        <v>15.435714000000001</v>
      </c>
      <c r="H738" s="221">
        <f t="shared" si="241"/>
        <v>1790.54</v>
      </c>
    </row>
    <row r="739" spans="1:8" s="71" customFormat="1" ht="31.5" outlineLevel="2" x14ac:dyDescent="0.25">
      <c r="A739" s="68" t="s">
        <v>2274</v>
      </c>
      <c r="B739" s="115" t="s">
        <v>2941</v>
      </c>
      <c r="C739" s="116" t="s">
        <v>736</v>
      </c>
      <c r="D739" s="117" t="s">
        <v>56</v>
      </c>
      <c r="E739" s="445">
        <f>SPDA!E13</f>
        <v>59</v>
      </c>
      <c r="F739" s="207">
        <v>16.350000000000001</v>
      </c>
      <c r="G739" s="217">
        <f t="shared" si="240"/>
        <v>20.720355000000005</v>
      </c>
      <c r="H739" s="217">
        <f t="shared" si="241"/>
        <v>1222.5</v>
      </c>
    </row>
    <row r="740" spans="1:8" s="71" customFormat="1" ht="47.25" outlineLevel="2" x14ac:dyDescent="0.25">
      <c r="A740" s="68" t="s">
        <v>2275</v>
      </c>
      <c r="B740" s="115" t="s">
        <v>2942</v>
      </c>
      <c r="C740" s="116" t="s">
        <v>740</v>
      </c>
      <c r="D740" s="115" t="s">
        <v>99</v>
      </c>
      <c r="E740" s="445">
        <f>SPDA!E14</f>
        <v>162</v>
      </c>
      <c r="F740" s="207">
        <v>9.4700000000000006</v>
      </c>
      <c r="G740" s="217">
        <f>F740*(1+$E$2)</f>
        <v>12.001331000000002</v>
      </c>
      <c r="H740" s="217">
        <f>TRUNC((G740*E740),2)</f>
        <v>1944.21</v>
      </c>
    </row>
    <row r="741" spans="1:8" s="71" customFormat="1" outlineLevel="2" x14ac:dyDescent="0.25">
      <c r="A741" s="68" t="s">
        <v>2276</v>
      </c>
      <c r="B741" s="115" t="s">
        <v>882</v>
      </c>
      <c r="C741" s="116" t="s">
        <v>883</v>
      </c>
      <c r="D741" s="117" t="s">
        <v>56</v>
      </c>
      <c r="E741" s="445">
        <f>SPDA!E15</f>
        <v>215.99999460000001</v>
      </c>
      <c r="F741" s="207">
        <v>4.6100000000000003</v>
      </c>
      <c r="G741" s="201">
        <f>F741*(1+$E$2)</f>
        <v>5.8422530000000013</v>
      </c>
      <c r="H741" s="201">
        <f>TRUNC((G741*E741),2)</f>
        <v>1261.92</v>
      </c>
    </row>
    <row r="742" spans="1:8" s="71" customFormat="1" outlineLevel="2" x14ac:dyDescent="0.25">
      <c r="A742" s="68" t="s">
        <v>2277</v>
      </c>
      <c r="B742" s="115" t="s">
        <v>929</v>
      </c>
      <c r="C742" s="116" t="s">
        <v>928</v>
      </c>
      <c r="D742" s="117" t="s">
        <v>56</v>
      </c>
      <c r="E742" s="445">
        <f>SPDA!E16</f>
        <v>215.99999460000001</v>
      </c>
      <c r="F742" s="207">
        <v>3.11</v>
      </c>
      <c r="G742" s="201">
        <f>F742*(1+$E$2)</f>
        <v>3.941303</v>
      </c>
      <c r="H742" s="201">
        <f>TRUNC((G742*E742),2)</f>
        <v>851.32</v>
      </c>
    </row>
    <row r="743" spans="1:8" s="71" customFormat="1" outlineLevel="2" x14ac:dyDescent="0.25">
      <c r="A743" s="68" t="s">
        <v>2278</v>
      </c>
      <c r="B743" s="115" t="s">
        <v>2943</v>
      </c>
      <c r="C743" s="116" t="s">
        <v>738</v>
      </c>
      <c r="D743" s="115" t="s">
        <v>99</v>
      </c>
      <c r="E743" s="445">
        <f>SPDA!E17</f>
        <v>735</v>
      </c>
      <c r="F743" s="207">
        <v>21.65</v>
      </c>
      <c r="G743" s="217">
        <f>F743*(1+$E$2)</f>
        <v>27.437045000000001</v>
      </c>
      <c r="H743" s="217">
        <f>TRUNC((G743*E743),2)</f>
        <v>20166.22</v>
      </c>
    </row>
    <row r="744" spans="1:8" s="71" customFormat="1" outlineLevel="2" x14ac:dyDescent="0.25">
      <c r="A744" s="68" t="s">
        <v>2279</v>
      </c>
      <c r="B744" s="115" t="s">
        <v>2944</v>
      </c>
      <c r="C744" s="116" t="s">
        <v>739</v>
      </c>
      <c r="D744" s="115" t="s">
        <v>99</v>
      </c>
      <c r="E744" s="445">
        <f>SPDA!E18</f>
        <v>764</v>
      </c>
      <c r="F744" s="207">
        <v>30.72</v>
      </c>
      <c r="G744" s="217">
        <f>F744*(1+$E$2)</f>
        <v>38.931456000000004</v>
      </c>
      <c r="H744" s="217">
        <f>TRUNC((G744*E744),2)</f>
        <v>29743.63</v>
      </c>
    </row>
    <row r="745" spans="1:8" s="71" customFormat="1" ht="47.25" outlineLevel="2" x14ac:dyDescent="0.25">
      <c r="A745" s="68" t="s">
        <v>2280</v>
      </c>
      <c r="B745" s="163" t="s">
        <v>930</v>
      </c>
      <c r="C745" s="164" t="s">
        <v>2945</v>
      </c>
      <c r="D745" s="165" t="s">
        <v>56</v>
      </c>
      <c r="E745" s="445">
        <f>SPDA!E19</f>
        <v>13</v>
      </c>
      <c r="F745" s="210">
        <v>71.540000000000006</v>
      </c>
      <c r="G745" s="221">
        <f t="shared" si="240"/>
        <v>90.662642000000019</v>
      </c>
      <c r="H745" s="221">
        <f t="shared" si="241"/>
        <v>1178.6099999999999</v>
      </c>
    </row>
    <row r="746" spans="1:8" s="71" customFormat="1" ht="47.25" outlineLevel="2" x14ac:dyDescent="0.25">
      <c r="A746" s="68" t="s">
        <v>2281</v>
      </c>
      <c r="B746" s="115" t="s">
        <v>2946</v>
      </c>
      <c r="C746" s="116" t="s">
        <v>2947</v>
      </c>
      <c r="D746" s="115" t="s">
        <v>56</v>
      </c>
      <c r="E746" s="445">
        <f>SPDA!E20</f>
        <v>115</v>
      </c>
      <c r="F746" s="207">
        <v>40.4</v>
      </c>
      <c r="G746" s="217">
        <f>F746*(1+$E$2)</f>
        <v>51.198920000000001</v>
      </c>
      <c r="H746" s="217">
        <f>TRUNC((G746*E746),2)</f>
        <v>5887.87</v>
      </c>
    </row>
    <row r="747" spans="1:8" s="71" customFormat="1" ht="31.5" outlineLevel="2" x14ac:dyDescent="0.25">
      <c r="A747" s="68" t="s">
        <v>2282</v>
      </c>
      <c r="B747" s="163" t="s">
        <v>936</v>
      </c>
      <c r="C747" s="164" t="s">
        <v>937</v>
      </c>
      <c r="D747" s="165" t="s">
        <v>56</v>
      </c>
      <c r="E747" s="445">
        <f>SPDA!E21</f>
        <v>174</v>
      </c>
      <c r="F747" s="210">
        <v>8.15</v>
      </c>
      <c r="G747" s="221">
        <f t="shared" si="240"/>
        <v>10.328495000000002</v>
      </c>
      <c r="H747" s="221">
        <f t="shared" si="241"/>
        <v>1797.15</v>
      </c>
    </row>
    <row r="748" spans="1:8" s="71" customFormat="1" outlineLevel="2" x14ac:dyDescent="0.25">
      <c r="A748" s="68" t="s">
        <v>2283</v>
      </c>
      <c r="B748" s="115" t="s">
        <v>2707</v>
      </c>
      <c r="C748" s="116" t="s">
        <v>503</v>
      </c>
      <c r="D748" s="115" t="s">
        <v>273</v>
      </c>
      <c r="E748" s="445">
        <f>SPDA!E22</f>
        <v>132</v>
      </c>
      <c r="F748" s="207">
        <v>54.9</v>
      </c>
      <c r="G748" s="201">
        <f t="shared" si="240"/>
        <v>69.574770000000001</v>
      </c>
      <c r="H748" s="201">
        <f t="shared" si="241"/>
        <v>9183.86</v>
      </c>
    </row>
    <row r="749" spans="1:8" s="71" customFormat="1" outlineLevel="2" x14ac:dyDescent="0.25">
      <c r="A749" s="68" t="s">
        <v>2284</v>
      </c>
      <c r="B749" s="115" t="s">
        <v>259</v>
      </c>
      <c r="C749" s="116" t="s">
        <v>506</v>
      </c>
      <c r="D749" s="115" t="s">
        <v>273</v>
      </c>
      <c r="E749" s="445">
        <f>SPDA!E23</f>
        <v>132</v>
      </c>
      <c r="F749" s="207">
        <v>41.64</v>
      </c>
      <c r="G749" s="217">
        <f t="shared" si="240"/>
        <v>52.770372000000002</v>
      </c>
      <c r="H749" s="217">
        <f t="shared" si="241"/>
        <v>6965.68</v>
      </c>
    </row>
    <row r="750" spans="1:8" ht="31.5" outlineLevel="2" x14ac:dyDescent="0.25">
      <c r="A750" s="68" t="s">
        <v>2285</v>
      </c>
      <c r="B750" s="163" t="s">
        <v>938</v>
      </c>
      <c r="C750" s="164" t="s">
        <v>939</v>
      </c>
      <c r="D750" s="163" t="s">
        <v>56</v>
      </c>
      <c r="E750" s="445">
        <f>SPDA!E24</f>
        <v>1</v>
      </c>
      <c r="F750" s="210">
        <v>316.73</v>
      </c>
      <c r="G750" s="221">
        <f t="shared" si="240"/>
        <v>401.39192900000006</v>
      </c>
      <c r="H750" s="221">
        <f t="shared" si="241"/>
        <v>401.39</v>
      </c>
    </row>
    <row r="751" spans="1:8" ht="31.5" outlineLevel="2" x14ac:dyDescent="0.25">
      <c r="A751" s="68" t="s">
        <v>2286</v>
      </c>
      <c r="B751" s="115" t="s">
        <v>2948</v>
      </c>
      <c r="C751" s="116" t="s">
        <v>1684</v>
      </c>
      <c r="D751" s="163" t="s">
        <v>56</v>
      </c>
      <c r="E751" s="445">
        <f>SPDA!E25</f>
        <v>2</v>
      </c>
      <c r="F751" s="210">
        <v>278.10000000000002</v>
      </c>
      <c r="G751" s="221">
        <f t="shared" ref="G751:G760" si="246">F751*(1+$E$2)</f>
        <v>352.43613000000005</v>
      </c>
      <c r="H751" s="221">
        <f t="shared" ref="H751:H760" si="247">TRUNC((G751*E751),2)</f>
        <v>704.87</v>
      </c>
    </row>
    <row r="752" spans="1:8" outlineLevel="2" x14ac:dyDescent="0.25">
      <c r="A752" s="68" t="s">
        <v>2287</v>
      </c>
      <c r="B752" s="115" t="s">
        <v>2949</v>
      </c>
      <c r="C752" s="116" t="s">
        <v>1685</v>
      </c>
      <c r="D752" s="115" t="s">
        <v>99</v>
      </c>
      <c r="E752" s="445">
        <f>SPDA!E26</f>
        <v>20</v>
      </c>
      <c r="F752" s="210">
        <v>48.3</v>
      </c>
      <c r="G752" s="221">
        <f t="shared" si="246"/>
        <v>61.210590000000003</v>
      </c>
      <c r="H752" s="221">
        <f t="shared" si="247"/>
        <v>1224.21</v>
      </c>
    </row>
    <row r="753" spans="1:8" ht="47.25" outlineLevel="2" x14ac:dyDescent="0.25">
      <c r="A753" s="68" t="s">
        <v>2288</v>
      </c>
      <c r="B753" s="115" t="s">
        <v>1686</v>
      </c>
      <c r="C753" s="116" t="s">
        <v>1700</v>
      </c>
      <c r="D753" s="163" t="s">
        <v>56</v>
      </c>
      <c r="E753" s="445">
        <f>SPDA!E27</f>
        <v>2</v>
      </c>
      <c r="F753" s="210">
        <v>334.73</v>
      </c>
      <c r="G753" s="221">
        <f t="shared" si="246"/>
        <v>424.20332900000005</v>
      </c>
      <c r="H753" s="221">
        <f t="shared" si="247"/>
        <v>848.4</v>
      </c>
    </row>
    <row r="754" spans="1:8" ht="31.5" outlineLevel="2" x14ac:dyDescent="0.25">
      <c r="A754" s="68" t="s">
        <v>2289</v>
      </c>
      <c r="B754" s="115" t="s">
        <v>1687</v>
      </c>
      <c r="C754" s="116" t="s">
        <v>1706</v>
      </c>
      <c r="D754" s="163" t="s">
        <v>56</v>
      </c>
      <c r="E754" s="445">
        <f>SPDA!E28</f>
        <v>2</v>
      </c>
      <c r="F754" s="210">
        <v>49.71</v>
      </c>
      <c r="G754" s="221">
        <f t="shared" si="246"/>
        <v>62.997483000000003</v>
      </c>
      <c r="H754" s="221">
        <f t="shared" si="247"/>
        <v>125.99</v>
      </c>
    </row>
    <row r="755" spans="1:8" ht="47.25" outlineLevel="2" x14ac:dyDescent="0.25">
      <c r="A755" s="68" t="s">
        <v>2290</v>
      </c>
      <c r="B755" s="115" t="s">
        <v>2950</v>
      </c>
      <c r="C755" s="116" t="s">
        <v>1632</v>
      </c>
      <c r="D755" s="115" t="s">
        <v>99</v>
      </c>
      <c r="E755" s="445">
        <f>SPDA!E29</f>
        <v>240</v>
      </c>
      <c r="F755" s="210">
        <v>2.85</v>
      </c>
      <c r="G755" s="221">
        <f t="shared" si="246"/>
        <v>3.6118050000000004</v>
      </c>
      <c r="H755" s="221">
        <f t="shared" si="247"/>
        <v>866.83</v>
      </c>
    </row>
    <row r="756" spans="1:8" ht="31.5" outlineLevel="2" x14ac:dyDescent="0.25">
      <c r="A756" s="68" t="s">
        <v>2291</v>
      </c>
      <c r="B756" s="115" t="s">
        <v>2912</v>
      </c>
      <c r="C756" s="116" t="s">
        <v>721</v>
      </c>
      <c r="D756" s="163" t="s">
        <v>56</v>
      </c>
      <c r="E756" s="445">
        <f>SPDA!E30</f>
        <v>2</v>
      </c>
      <c r="F756" s="210">
        <v>7.82</v>
      </c>
      <c r="G756" s="221">
        <f t="shared" si="246"/>
        <v>9.910286000000001</v>
      </c>
      <c r="H756" s="221">
        <f t="shared" si="247"/>
        <v>19.82</v>
      </c>
    </row>
    <row r="757" spans="1:8" ht="47.25" outlineLevel="2" x14ac:dyDescent="0.25">
      <c r="A757" s="68" t="s">
        <v>2292</v>
      </c>
      <c r="B757" s="115" t="s">
        <v>2928</v>
      </c>
      <c r="C757" s="116" t="s">
        <v>1689</v>
      </c>
      <c r="D757" s="115" t="s">
        <v>99</v>
      </c>
      <c r="E757" s="445">
        <f>SPDA!E31</f>
        <v>160</v>
      </c>
      <c r="F757" s="210">
        <v>7.52</v>
      </c>
      <c r="G757" s="221">
        <f t="shared" si="246"/>
        <v>9.5300960000000003</v>
      </c>
      <c r="H757" s="221">
        <f t="shared" si="247"/>
        <v>1524.81</v>
      </c>
    </row>
    <row r="758" spans="1:8" ht="47.25" outlineLevel="2" x14ac:dyDescent="0.25">
      <c r="A758" s="68" t="s">
        <v>2293</v>
      </c>
      <c r="B758" s="115" t="s">
        <v>2951</v>
      </c>
      <c r="C758" s="116" t="s">
        <v>2952</v>
      </c>
      <c r="D758" s="163" t="s">
        <v>56</v>
      </c>
      <c r="E758" s="445">
        <f>SPDA!E32</f>
        <v>16</v>
      </c>
      <c r="F758" s="210">
        <v>5.89</v>
      </c>
      <c r="G758" s="221">
        <f t="shared" si="246"/>
        <v>7.4643969999999999</v>
      </c>
      <c r="H758" s="221">
        <f t="shared" si="247"/>
        <v>119.43</v>
      </c>
    </row>
    <row r="759" spans="1:8" ht="47.25" outlineLevel="2" x14ac:dyDescent="0.25">
      <c r="A759" s="68" t="s">
        <v>2294</v>
      </c>
      <c r="B759" s="115" t="s">
        <v>2929</v>
      </c>
      <c r="C759" s="116" t="s">
        <v>2930</v>
      </c>
      <c r="D759" s="163" t="s">
        <v>56</v>
      </c>
      <c r="E759" s="445">
        <f>SPDA!E33</f>
        <v>2</v>
      </c>
      <c r="F759" s="210">
        <v>17.09</v>
      </c>
      <c r="G759" s="221">
        <f t="shared" si="246"/>
        <v>21.658157000000003</v>
      </c>
      <c r="H759" s="221">
        <f t="shared" si="247"/>
        <v>43.31</v>
      </c>
    </row>
    <row r="760" spans="1:8" ht="47.25" outlineLevel="2" x14ac:dyDescent="0.25">
      <c r="A760" s="68" t="s">
        <v>2295</v>
      </c>
      <c r="B760" s="115" t="s">
        <v>2953</v>
      </c>
      <c r="C760" s="116" t="s">
        <v>1692</v>
      </c>
      <c r="D760" s="163" t="s">
        <v>56</v>
      </c>
      <c r="E760" s="445">
        <f>SPDA!E34</f>
        <v>10</v>
      </c>
      <c r="F760" s="210">
        <v>9.51</v>
      </c>
      <c r="G760" s="221">
        <f t="shared" si="246"/>
        <v>12.052023</v>
      </c>
      <c r="H760" s="221">
        <f t="shared" si="247"/>
        <v>120.52</v>
      </c>
    </row>
    <row r="761" spans="1:8" outlineLevel="1" x14ac:dyDescent="0.25">
      <c r="A761" s="122"/>
      <c r="B761" s="79"/>
      <c r="C761" s="80" t="s">
        <v>14</v>
      </c>
      <c r="D761" s="79"/>
      <c r="E761" s="81"/>
      <c r="F761" s="203"/>
      <c r="G761" s="218"/>
      <c r="H761" s="218">
        <f>SUM(H732:H760)</f>
        <v>110914.23</v>
      </c>
    </row>
    <row r="762" spans="1:8" x14ac:dyDescent="0.25">
      <c r="A762" s="66"/>
      <c r="B762" s="66"/>
      <c r="C762" s="67" t="s">
        <v>167</v>
      </c>
      <c r="D762" s="66"/>
      <c r="E762" s="81"/>
      <c r="F762" s="202"/>
      <c r="G762" s="204"/>
      <c r="H762" s="204">
        <f>H761+H730</f>
        <v>564867.4600000002</v>
      </c>
    </row>
    <row r="763" spans="1:8" x14ac:dyDescent="0.25">
      <c r="A763" s="698" t="s">
        <v>202</v>
      </c>
      <c r="B763" s="698"/>
      <c r="C763" s="698"/>
      <c r="D763" s="698"/>
      <c r="E763" s="698"/>
      <c r="F763" s="698"/>
      <c r="G763" s="698"/>
      <c r="H763" s="698"/>
    </row>
    <row r="764" spans="1:8" outlineLevel="1" x14ac:dyDescent="0.25">
      <c r="A764" s="170" t="s">
        <v>975</v>
      </c>
      <c r="B764" s="170"/>
      <c r="C764" s="171" t="s">
        <v>203</v>
      </c>
      <c r="D764" s="170"/>
      <c r="E764" s="172"/>
      <c r="F764" s="200"/>
      <c r="G764" s="216"/>
      <c r="H764" s="216"/>
    </row>
    <row r="765" spans="1:8" ht="31.5" outlineLevel="2" x14ac:dyDescent="0.25">
      <c r="A765" s="68" t="s">
        <v>1108</v>
      </c>
      <c r="B765" s="226" t="s">
        <v>2954</v>
      </c>
      <c r="C765" s="69" t="s">
        <v>1629</v>
      </c>
      <c r="D765" s="68" t="s">
        <v>56</v>
      </c>
      <c r="E765" s="448">
        <f>INCÊNDIO!E3</f>
        <v>9</v>
      </c>
      <c r="F765" s="201">
        <v>170.48</v>
      </c>
      <c r="G765" s="201">
        <f t="shared" ref="G765:G768" si="248">F765*(1+$E$2)</f>
        <v>216.04930400000001</v>
      </c>
      <c r="H765" s="201">
        <f t="shared" ref="H765:H768" si="249">TRUNC((G765*E765),2)</f>
        <v>1944.44</v>
      </c>
    </row>
    <row r="766" spans="1:8" ht="31.5" outlineLevel="2" x14ac:dyDescent="0.25">
      <c r="A766" s="68" t="s">
        <v>1109</v>
      </c>
      <c r="B766" s="68" t="s">
        <v>314</v>
      </c>
      <c r="C766" s="69" t="s">
        <v>2955</v>
      </c>
      <c r="D766" s="68" t="s">
        <v>56</v>
      </c>
      <c r="E766" s="70">
        <f>INCÊNDIO!E4</f>
        <v>4</v>
      </c>
      <c r="F766" s="201">
        <v>151.1</v>
      </c>
      <c r="G766" s="201">
        <f t="shared" si="248"/>
        <v>191.48903000000001</v>
      </c>
      <c r="H766" s="201">
        <f t="shared" si="249"/>
        <v>765.95</v>
      </c>
    </row>
    <row r="767" spans="1:8" s="71" customFormat="1" ht="31.5" outlineLevel="2" x14ac:dyDescent="0.25">
      <c r="A767" s="68" t="s">
        <v>1110</v>
      </c>
      <c r="B767" s="68" t="s">
        <v>884</v>
      </c>
      <c r="C767" s="69" t="s">
        <v>885</v>
      </c>
      <c r="D767" s="68" t="s">
        <v>56</v>
      </c>
      <c r="E767" s="70">
        <f>INCÊNDIO!E5</f>
        <v>16</v>
      </c>
      <c r="F767" s="201">
        <v>22.62</v>
      </c>
      <c r="G767" s="201">
        <f t="shared" si="248"/>
        <v>28.666326000000005</v>
      </c>
      <c r="H767" s="201">
        <f t="shared" si="249"/>
        <v>458.66</v>
      </c>
    </row>
    <row r="768" spans="1:8" ht="31.5" outlineLevel="2" x14ac:dyDescent="0.25">
      <c r="A768" s="68" t="s">
        <v>3355</v>
      </c>
      <c r="B768" s="68" t="s">
        <v>2778</v>
      </c>
      <c r="C768" s="246" t="s">
        <v>743</v>
      </c>
      <c r="D768" s="68" t="s">
        <v>106</v>
      </c>
      <c r="E768" s="70">
        <f>INCÊNDIO!E6</f>
        <v>20</v>
      </c>
      <c r="F768" s="201">
        <v>15.93</v>
      </c>
      <c r="G768" s="201">
        <f t="shared" si="248"/>
        <v>20.188089000000002</v>
      </c>
      <c r="H768" s="201">
        <f t="shared" si="249"/>
        <v>403.76</v>
      </c>
    </row>
    <row r="769" spans="1:8" outlineLevel="1" x14ac:dyDescent="0.25">
      <c r="A769" s="79"/>
      <c r="B769" s="79"/>
      <c r="C769" s="80" t="s">
        <v>14</v>
      </c>
      <c r="D769" s="79"/>
      <c r="E769" s="81"/>
      <c r="F769" s="203"/>
      <c r="G769" s="218"/>
      <c r="H769" s="218">
        <f>SUM(H765:H768)</f>
        <v>3572.8100000000004</v>
      </c>
    </row>
    <row r="770" spans="1:8" outlineLevel="1" x14ac:dyDescent="0.25">
      <c r="A770" s="170" t="s">
        <v>976</v>
      </c>
      <c r="B770" s="170"/>
      <c r="C770" s="171" t="s">
        <v>204</v>
      </c>
      <c r="D770" s="170"/>
      <c r="E770" s="172"/>
      <c r="F770" s="200"/>
      <c r="G770" s="216"/>
      <c r="H770" s="216"/>
    </row>
    <row r="771" spans="1:8" s="71" customFormat="1" ht="47.25" outlineLevel="2" x14ac:dyDescent="0.25">
      <c r="A771" s="68" t="s">
        <v>1111</v>
      </c>
      <c r="B771" s="68" t="s">
        <v>886</v>
      </c>
      <c r="C771" s="69" t="s">
        <v>887</v>
      </c>
      <c r="D771" s="68" t="s">
        <v>56</v>
      </c>
      <c r="E771" s="70">
        <f>INCÊNDIO!E8</f>
        <v>59</v>
      </c>
      <c r="F771" s="201">
        <v>24.52</v>
      </c>
      <c r="G771" s="201">
        <f t="shared" ref="G771:G772" si="250">F771*(1+$E$2)</f>
        <v>31.074196000000001</v>
      </c>
      <c r="H771" s="201">
        <f t="shared" ref="H771:H772" si="251">TRUNC((G771*E771),2)</f>
        <v>1833.37</v>
      </c>
    </row>
    <row r="772" spans="1:8" s="71" customFormat="1" ht="63" outlineLevel="2" x14ac:dyDescent="0.25">
      <c r="A772" s="68" t="s">
        <v>1551</v>
      </c>
      <c r="B772" s="68" t="s">
        <v>888</v>
      </c>
      <c r="C772" s="69" t="s">
        <v>889</v>
      </c>
      <c r="D772" s="68" t="s">
        <v>56</v>
      </c>
      <c r="E772" s="70">
        <f>INCÊNDIO!E9</f>
        <v>5</v>
      </c>
      <c r="F772" s="201">
        <v>32.65</v>
      </c>
      <c r="G772" s="201">
        <f t="shared" si="250"/>
        <v>41.377344999999998</v>
      </c>
      <c r="H772" s="201">
        <f t="shared" si="251"/>
        <v>206.88</v>
      </c>
    </row>
    <row r="773" spans="1:8" outlineLevel="1" x14ac:dyDescent="0.25">
      <c r="A773" s="79"/>
      <c r="B773" s="79"/>
      <c r="C773" s="80" t="s">
        <v>14</v>
      </c>
      <c r="D773" s="79"/>
      <c r="E773" s="81"/>
      <c r="F773" s="203"/>
      <c r="G773" s="218"/>
      <c r="H773" s="218">
        <f>SUM(H771:H772)</f>
        <v>2040.25</v>
      </c>
    </row>
    <row r="774" spans="1:8" outlineLevel="1" x14ac:dyDescent="0.25">
      <c r="A774" s="170" t="s">
        <v>1552</v>
      </c>
      <c r="B774" s="170"/>
      <c r="C774" s="171" t="s">
        <v>205</v>
      </c>
      <c r="D774" s="170"/>
      <c r="E774" s="172"/>
      <c r="F774" s="200"/>
      <c r="G774" s="216"/>
      <c r="H774" s="216"/>
    </row>
    <row r="775" spans="1:8" s="71" customFormat="1" ht="31.5" outlineLevel="2" x14ac:dyDescent="0.25">
      <c r="A775" s="68" t="s">
        <v>1553</v>
      </c>
      <c r="B775" s="115" t="s">
        <v>890</v>
      </c>
      <c r="C775" s="116" t="s">
        <v>891</v>
      </c>
      <c r="D775" s="115" t="s">
        <v>56</v>
      </c>
      <c r="E775" s="445">
        <f>INCÊNDIO!E11</f>
        <v>6</v>
      </c>
      <c r="F775" s="207">
        <v>79.41</v>
      </c>
      <c r="G775" s="201">
        <f t="shared" ref="G775:G781" si="252">F775*(1+$E$2)</f>
        <v>100.63629300000001</v>
      </c>
      <c r="H775" s="201">
        <f t="shared" ref="H775:H781" si="253">TRUNC((G775*E775),2)</f>
        <v>603.80999999999995</v>
      </c>
    </row>
    <row r="776" spans="1:8" s="71" customFormat="1" ht="31.5" outlineLevel="2" x14ac:dyDescent="0.25">
      <c r="A776" s="68" t="s">
        <v>1650</v>
      </c>
      <c r="B776" s="115" t="s">
        <v>892</v>
      </c>
      <c r="C776" s="116" t="s">
        <v>893</v>
      </c>
      <c r="D776" s="115" t="s">
        <v>56</v>
      </c>
      <c r="E776" s="445">
        <f>INCÊNDIO!E12</f>
        <v>6</v>
      </c>
      <c r="F776" s="207">
        <v>42.21</v>
      </c>
      <c r="G776" s="201">
        <f t="shared" si="252"/>
        <v>53.492733000000008</v>
      </c>
      <c r="H776" s="201">
        <f t="shared" si="253"/>
        <v>320.95</v>
      </c>
    </row>
    <row r="777" spans="1:8" s="71" customFormat="1" ht="31.5" outlineLevel="2" x14ac:dyDescent="0.25">
      <c r="A777" s="68" t="s">
        <v>2512</v>
      </c>
      <c r="B777" s="115" t="s">
        <v>894</v>
      </c>
      <c r="C777" s="116" t="s">
        <v>895</v>
      </c>
      <c r="D777" s="115" t="s">
        <v>56</v>
      </c>
      <c r="E777" s="445">
        <f>INCÊNDIO!E13</f>
        <v>1</v>
      </c>
      <c r="F777" s="207">
        <v>596.64</v>
      </c>
      <c r="G777" s="201">
        <f t="shared" si="252"/>
        <v>756.12187200000005</v>
      </c>
      <c r="H777" s="201">
        <f t="shared" si="253"/>
        <v>756.12</v>
      </c>
    </row>
    <row r="778" spans="1:8" s="71" customFormat="1" ht="31.5" outlineLevel="2" x14ac:dyDescent="0.25">
      <c r="A778" s="68" t="s">
        <v>2513</v>
      </c>
      <c r="B778" s="115" t="s">
        <v>896</v>
      </c>
      <c r="C778" s="116" t="s">
        <v>897</v>
      </c>
      <c r="D778" s="115" t="s">
        <v>56</v>
      </c>
      <c r="E778" s="445">
        <f>INCÊNDIO!E14</f>
        <v>2</v>
      </c>
      <c r="F778" s="207">
        <v>227.79</v>
      </c>
      <c r="G778" s="201">
        <f t="shared" si="252"/>
        <v>288.67826700000001</v>
      </c>
      <c r="H778" s="201">
        <f t="shared" si="253"/>
        <v>577.35</v>
      </c>
    </row>
    <row r="779" spans="1:8" ht="47.25" outlineLevel="2" x14ac:dyDescent="0.25">
      <c r="A779" s="68" t="s">
        <v>2514</v>
      </c>
      <c r="B779" s="68" t="s">
        <v>2950</v>
      </c>
      <c r="C779" s="69" t="s">
        <v>1632</v>
      </c>
      <c r="D779" s="68" t="s">
        <v>99</v>
      </c>
      <c r="E779" s="70">
        <f>INCÊNDIO!E15</f>
        <v>2065</v>
      </c>
      <c r="F779" s="201">
        <v>2.85</v>
      </c>
      <c r="G779" s="201">
        <f t="shared" si="252"/>
        <v>3.6118050000000004</v>
      </c>
      <c r="H779" s="201">
        <f t="shared" si="253"/>
        <v>7458.37</v>
      </c>
    </row>
    <row r="780" spans="1:8" ht="47.25" outlineLevel="2" x14ac:dyDescent="0.25">
      <c r="A780" s="68" t="s">
        <v>2515</v>
      </c>
      <c r="B780" s="68" t="s">
        <v>2956</v>
      </c>
      <c r="C780" s="69" t="s">
        <v>742</v>
      </c>
      <c r="D780" s="68" t="s">
        <v>56</v>
      </c>
      <c r="E780" s="70">
        <f>INCÊNDIO!E16</f>
        <v>25</v>
      </c>
      <c r="F780" s="201">
        <v>9.86</v>
      </c>
      <c r="G780" s="201">
        <f t="shared" si="252"/>
        <v>12.495578</v>
      </c>
      <c r="H780" s="201">
        <f t="shared" si="253"/>
        <v>312.38</v>
      </c>
    </row>
    <row r="781" spans="1:8" s="71" customFormat="1" ht="63" outlineLevel="2" x14ac:dyDescent="0.25">
      <c r="A781" s="68" t="s">
        <v>2516</v>
      </c>
      <c r="B781" s="68" t="s">
        <v>900</v>
      </c>
      <c r="C781" s="69" t="s">
        <v>901</v>
      </c>
      <c r="D781" s="68" t="s">
        <v>56</v>
      </c>
      <c r="E781" s="70">
        <f>INCÊNDIO!E17</f>
        <v>8</v>
      </c>
      <c r="F781" s="201">
        <v>20.38</v>
      </c>
      <c r="G781" s="201">
        <f t="shared" si="252"/>
        <v>25.827574000000002</v>
      </c>
      <c r="H781" s="201">
        <f t="shared" si="253"/>
        <v>206.62</v>
      </c>
    </row>
    <row r="782" spans="1:8" s="71" customFormat="1" outlineLevel="2" x14ac:dyDescent="0.25">
      <c r="A782" s="68" t="s">
        <v>2517</v>
      </c>
      <c r="B782" s="68" t="s">
        <v>3288</v>
      </c>
      <c r="C782" s="69" t="s">
        <v>3208</v>
      </c>
      <c r="D782" s="68" t="s">
        <v>99</v>
      </c>
      <c r="E782" s="70">
        <f>INCÊNDIO!E18</f>
        <v>75</v>
      </c>
      <c r="F782" s="201">
        <v>18.91</v>
      </c>
      <c r="G782" s="201">
        <f t="shared" ref="G782:G783" si="254">F782*(1+$E$2)</f>
        <v>23.964643000000002</v>
      </c>
      <c r="H782" s="201">
        <f t="shared" ref="H782:H783" si="255">TRUNC((G782*E782),2)</f>
        <v>1797.34</v>
      </c>
    </row>
    <row r="783" spans="1:8" s="71" customFormat="1" ht="31.5" outlineLevel="2" x14ac:dyDescent="0.25">
      <c r="A783" s="68" t="s">
        <v>2518</v>
      </c>
      <c r="B783" s="68" t="s">
        <v>3205</v>
      </c>
      <c r="C783" s="69" t="s">
        <v>3289</v>
      </c>
      <c r="D783" s="68" t="s">
        <v>99</v>
      </c>
      <c r="E783" s="70">
        <f>INCÊNDIO!E19</f>
        <v>36</v>
      </c>
      <c r="F783" s="201">
        <v>14.38</v>
      </c>
      <c r="G783" s="201">
        <f t="shared" si="254"/>
        <v>18.223774000000002</v>
      </c>
      <c r="H783" s="201">
        <f t="shared" si="255"/>
        <v>656.05</v>
      </c>
    </row>
    <row r="784" spans="1:8" s="71" customFormat="1" outlineLevel="2" x14ac:dyDescent="0.25">
      <c r="A784" s="68" t="s">
        <v>2519</v>
      </c>
      <c r="B784" s="68" t="s">
        <v>3290</v>
      </c>
      <c r="C784" s="69" t="s">
        <v>3210</v>
      </c>
      <c r="D784" s="68" t="s">
        <v>56</v>
      </c>
      <c r="E784" s="70">
        <f>INCÊNDIO!E20</f>
        <v>12</v>
      </c>
      <c r="F784" s="201">
        <v>4.01</v>
      </c>
      <c r="G784" s="201">
        <f t="shared" ref="G784" si="256">F784*(1+$E$2)</f>
        <v>5.0818729999999999</v>
      </c>
      <c r="H784" s="201">
        <f t="shared" ref="H784" si="257">TRUNC((G784*E784),2)</f>
        <v>60.98</v>
      </c>
    </row>
    <row r="785" spans="1:8" s="71" customFormat="1" outlineLevel="2" x14ac:dyDescent="0.25">
      <c r="A785" s="68" t="s">
        <v>2520</v>
      </c>
      <c r="B785" s="68" t="s">
        <v>3291</v>
      </c>
      <c r="C785" s="69" t="s">
        <v>3212</v>
      </c>
      <c r="D785" s="68" t="s">
        <v>56</v>
      </c>
      <c r="E785" s="70">
        <f>INCÊNDIO!E21</f>
        <v>25</v>
      </c>
      <c r="F785" s="201">
        <v>4.1399999999999997</v>
      </c>
      <c r="G785" s="201">
        <f t="shared" ref="G785:G787" si="258">F785*(1+$E$2)</f>
        <v>5.2466220000000003</v>
      </c>
      <c r="H785" s="201">
        <f t="shared" ref="H785:H787" si="259">TRUNC((G785*E785),2)</f>
        <v>131.16</v>
      </c>
    </row>
    <row r="786" spans="1:8" s="71" customFormat="1" outlineLevel="2" x14ac:dyDescent="0.25">
      <c r="A786" s="68" t="s">
        <v>3298</v>
      </c>
      <c r="B786" s="68" t="s">
        <v>3292</v>
      </c>
      <c r="C786" s="69" t="s">
        <v>3214</v>
      </c>
      <c r="D786" s="68" t="s">
        <v>56</v>
      </c>
      <c r="E786" s="70">
        <f>INCÊNDIO!E22</f>
        <v>8</v>
      </c>
      <c r="F786" s="201">
        <v>14.42</v>
      </c>
      <c r="G786" s="201">
        <f t="shared" ref="G786" si="260">F786*(1+$E$2)</f>
        <v>18.274466</v>
      </c>
      <c r="H786" s="201">
        <f t="shared" ref="H786" si="261">TRUNC((G786*E786),2)</f>
        <v>146.19</v>
      </c>
    </row>
    <row r="787" spans="1:8" s="71" customFormat="1" ht="31.5" outlineLevel="2" x14ac:dyDescent="0.25">
      <c r="A787" s="68" t="s">
        <v>3299</v>
      </c>
      <c r="B787" s="68" t="s">
        <v>898</v>
      </c>
      <c r="C787" s="69" t="s">
        <v>899</v>
      </c>
      <c r="D787" s="68" t="s">
        <v>56</v>
      </c>
      <c r="E787" s="70">
        <f>INCÊNDIO!E23</f>
        <v>36</v>
      </c>
      <c r="F787" s="201">
        <v>4.54</v>
      </c>
      <c r="G787" s="201">
        <f t="shared" si="258"/>
        <v>5.7535420000000004</v>
      </c>
      <c r="H787" s="201">
        <f t="shared" si="259"/>
        <v>207.12</v>
      </c>
    </row>
    <row r="788" spans="1:8" s="71" customFormat="1" outlineLevel="2" x14ac:dyDescent="0.25">
      <c r="A788" s="68" t="s">
        <v>3300</v>
      </c>
      <c r="B788" s="68" t="s">
        <v>882</v>
      </c>
      <c r="C788" s="69" t="s">
        <v>883</v>
      </c>
      <c r="D788" s="68" t="s">
        <v>56</v>
      </c>
      <c r="E788" s="70">
        <f>INCÊNDIO!E24</f>
        <v>75</v>
      </c>
      <c r="F788" s="201">
        <v>4.6100000000000003</v>
      </c>
      <c r="G788" s="201">
        <f t="shared" ref="G788" si="262">F788*(1+$E$2)</f>
        <v>5.8422530000000013</v>
      </c>
      <c r="H788" s="201">
        <f t="shared" ref="H788" si="263">TRUNC((G788*E788),2)</f>
        <v>438.16</v>
      </c>
    </row>
    <row r="789" spans="1:8" s="71" customFormat="1" ht="31.5" outlineLevel="2" x14ac:dyDescent="0.25">
      <c r="A789" s="68" t="s">
        <v>3301</v>
      </c>
      <c r="B789" s="68" t="s">
        <v>915</v>
      </c>
      <c r="C789" s="69" t="s">
        <v>1633</v>
      </c>
      <c r="D789" s="68" t="s">
        <v>56</v>
      </c>
      <c r="E789" s="70">
        <f>INCÊNDIO!E25</f>
        <v>2</v>
      </c>
      <c r="F789" s="201">
        <v>25.75</v>
      </c>
      <c r="G789" s="201">
        <f t="shared" ref="G789:G790" si="264">F789*(1+$E$2)</f>
        <v>32.632975000000002</v>
      </c>
      <c r="H789" s="201">
        <f t="shared" ref="H789:H790" si="265">TRUNC((G789*E789),2)</f>
        <v>65.260000000000005</v>
      </c>
    </row>
    <row r="790" spans="1:8" s="71" customFormat="1" ht="31.5" outlineLevel="2" x14ac:dyDescent="0.25">
      <c r="A790" s="68" t="s">
        <v>3302</v>
      </c>
      <c r="B790" s="68" t="s">
        <v>916</v>
      </c>
      <c r="C790" s="69" t="s">
        <v>917</v>
      </c>
      <c r="D790" s="68" t="s">
        <v>56</v>
      </c>
      <c r="E790" s="70">
        <f>INCÊNDIO!E26</f>
        <v>38</v>
      </c>
      <c r="F790" s="201">
        <v>3.53</v>
      </c>
      <c r="G790" s="201">
        <f t="shared" si="264"/>
        <v>4.4735690000000004</v>
      </c>
      <c r="H790" s="201">
        <f t="shared" si="265"/>
        <v>169.99</v>
      </c>
    </row>
    <row r="791" spans="1:8" s="71" customFormat="1" ht="47.25" outlineLevel="2" x14ac:dyDescent="0.25">
      <c r="A791" s="68" t="s">
        <v>3303</v>
      </c>
      <c r="B791" s="68">
        <v>95818</v>
      </c>
      <c r="C791" s="69" t="s">
        <v>3297</v>
      </c>
      <c r="D791" s="68" t="s">
        <v>56</v>
      </c>
      <c r="E791" s="70">
        <f>INCÊNDIO!E27</f>
        <v>30</v>
      </c>
      <c r="F791" s="201">
        <v>28.37</v>
      </c>
      <c r="G791" s="201">
        <f t="shared" ref="G791" si="266">F791*(1+$E$2)</f>
        <v>35.953301000000003</v>
      </c>
      <c r="H791" s="201">
        <f t="shared" ref="H791" si="267">TRUNC((G791*E791),2)</f>
        <v>1078.5899999999999</v>
      </c>
    </row>
    <row r="792" spans="1:8" s="71" customFormat="1" ht="31.5" outlineLevel="2" x14ac:dyDescent="0.25">
      <c r="A792" s="68" t="s">
        <v>3304</v>
      </c>
      <c r="B792" s="68" t="s">
        <v>3222</v>
      </c>
      <c r="C792" s="69" t="s">
        <v>3293</v>
      </c>
      <c r="D792" s="68" t="s">
        <v>56</v>
      </c>
      <c r="E792" s="70">
        <f>INCÊNDIO!E28</f>
        <v>25</v>
      </c>
      <c r="F792" s="201">
        <v>4.01</v>
      </c>
      <c r="G792" s="201">
        <f t="shared" ref="G792:G793" si="268">F792*(1+$E$2)</f>
        <v>5.0818729999999999</v>
      </c>
      <c r="H792" s="201">
        <f t="shared" ref="H792:H793" si="269">TRUNC((G792*E792),2)</f>
        <v>127.04</v>
      </c>
    </row>
    <row r="793" spans="1:8" s="71" customFormat="1" ht="31.5" outlineLevel="2" x14ac:dyDescent="0.25">
      <c r="A793" s="68" t="s">
        <v>3305</v>
      </c>
      <c r="B793" s="68" t="s">
        <v>3294</v>
      </c>
      <c r="C793" s="69" t="s">
        <v>3295</v>
      </c>
      <c r="D793" s="68" t="s">
        <v>56</v>
      </c>
      <c r="E793" s="70">
        <f>INCÊNDIO!E29</f>
        <v>25</v>
      </c>
      <c r="F793" s="201">
        <v>3.82</v>
      </c>
      <c r="G793" s="201">
        <f t="shared" si="268"/>
        <v>4.8410859999999998</v>
      </c>
      <c r="H793" s="201">
        <f t="shared" si="269"/>
        <v>121.02</v>
      </c>
    </row>
    <row r="794" spans="1:8" s="71" customFormat="1" ht="63" outlineLevel="2" x14ac:dyDescent="0.25">
      <c r="A794" s="68" t="s">
        <v>3306</v>
      </c>
      <c r="B794" s="68" t="s">
        <v>958</v>
      </c>
      <c r="C794" s="69" t="s">
        <v>3296</v>
      </c>
      <c r="D794" s="68" t="s">
        <v>10</v>
      </c>
      <c r="E794" s="70">
        <f>INCÊNDIO!E30</f>
        <v>18</v>
      </c>
      <c r="F794" s="201">
        <v>13.85</v>
      </c>
      <c r="G794" s="201">
        <f t="shared" ref="G794" si="270">F794*(1+$E$2)</f>
        <v>17.552105000000001</v>
      </c>
      <c r="H794" s="201">
        <f t="shared" ref="H794" si="271">TRUNC((G794*E794),2)</f>
        <v>315.93</v>
      </c>
    </row>
    <row r="795" spans="1:8" outlineLevel="1" x14ac:dyDescent="0.25">
      <c r="A795" s="122"/>
      <c r="B795" s="79"/>
      <c r="C795" s="80" t="s">
        <v>14</v>
      </c>
      <c r="D795" s="79"/>
      <c r="E795" s="81"/>
      <c r="F795" s="203"/>
      <c r="G795" s="218"/>
      <c r="H795" s="218">
        <f>SUM(H775:H794)</f>
        <v>15550.430000000002</v>
      </c>
    </row>
    <row r="796" spans="1:8" outlineLevel="1" x14ac:dyDescent="0.25">
      <c r="A796" s="170" t="s">
        <v>2296</v>
      </c>
      <c r="B796" s="170"/>
      <c r="C796" s="171" t="s">
        <v>206</v>
      </c>
      <c r="D796" s="170"/>
      <c r="E796" s="172"/>
      <c r="F796" s="200"/>
      <c r="G796" s="216"/>
      <c r="H796" s="216"/>
    </row>
    <row r="797" spans="1:8" s="71" customFormat="1" ht="31.5" outlineLevel="2" x14ac:dyDescent="0.25">
      <c r="A797" s="68" t="s">
        <v>2297</v>
      </c>
      <c r="B797" s="115">
        <v>72288</v>
      </c>
      <c r="C797" s="116" t="s">
        <v>3224</v>
      </c>
      <c r="D797" s="115" t="s">
        <v>56</v>
      </c>
      <c r="E797" s="445">
        <f>INCÊNDIO!E33</f>
        <v>5</v>
      </c>
      <c r="F797" s="207">
        <v>223.51</v>
      </c>
      <c r="G797" s="201">
        <f t="shared" ref="G797:G829" si="272">F797*(1+$E$2)</f>
        <v>283.25422300000002</v>
      </c>
      <c r="H797" s="201">
        <f t="shared" ref="H797:H829" si="273">TRUNC((G797*E797),2)</f>
        <v>1416.27</v>
      </c>
    </row>
    <row r="798" spans="1:8" s="71" customFormat="1" ht="47.25" outlineLevel="2" x14ac:dyDescent="0.25">
      <c r="A798" s="68" t="s">
        <v>2298</v>
      </c>
      <c r="B798" s="115">
        <v>92346</v>
      </c>
      <c r="C798" s="116" t="s">
        <v>3226</v>
      </c>
      <c r="D798" s="115" t="s">
        <v>56</v>
      </c>
      <c r="E798" s="445">
        <f>INCÊNDIO!E34</f>
        <v>9</v>
      </c>
      <c r="F798" s="207">
        <v>59.48</v>
      </c>
      <c r="G798" s="201">
        <f t="shared" si="272"/>
        <v>75.379003999999995</v>
      </c>
      <c r="H798" s="201">
        <f t="shared" si="273"/>
        <v>678.41</v>
      </c>
    </row>
    <row r="799" spans="1:8" s="71" customFormat="1" ht="63" outlineLevel="2" x14ac:dyDescent="0.25">
      <c r="A799" s="68" t="s">
        <v>2299</v>
      </c>
      <c r="B799" s="537" t="s">
        <v>3228</v>
      </c>
      <c r="C799" s="116" t="s">
        <v>3229</v>
      </c>
      <c r="D799" s="115" t="s">
        <v>56</v>
      </c>
      <c r="E799" s="445">
        <f>INCÊNDIO!E35</f>
        <v>5</v>
      </c>
      <c r="F799" s="207">
        <v>186.6</v>
      </c>
      <c r="G799" s="201">
        <f t="shared" ref="G799" si="274">F799*(1+$E$2)</f>
        <v>236.47818000000001</v>
      </c>
      <c r="H799" s="201">
        <f t="shared" ref="H799" si="275">TRUNC((G799*E799),2)</f>
        <v>1182.3900000000001</v>
      </c>
    </row>
    <row r="800" spans="1:8" s="71" customFormat="1" ht="47.25" outlineLevel="2" x14ac:dyDescent="0.25">
      <c r="A800" s="68" t="s">
        <v>2300</v>
      </c>
      <c r="B800" s="537">
        <v>71516</v>
      </c>
      <c r="C800" s="116" t="s">
        <v>3311</v>
      </c>
      <c r="D800" s="68" t="s">
        <v>56</v>
      </c>
      <c r="E800" s="445">
        <f>INCÊNDIO!E36</f>
        <v>4</v>
      </c>
      <c r="F800" s="201">
        <v>563.28</v>
      </c>
      <c r="G800" s="201">
        <f>F800*(1+$E$2)</f>
        <v>713.84474399999999</v>
      </c>
      <c r="H800" s="201">
        <f>TRUNC((G800*E800),2)</f>
        <v>2855.37</v>
      </c>
    </row>
    <row r="801" spans="1:8" ht="47.25" outlineLevel="2" x14ac:dyDescent="0.25">
      <c r="A801" s="68" t="s">
        <v>2301</v>
      </c>
      <c r="B801" s="537" t="s">
        <v>3232</v>
      </c>
      <c r="C801" s="116" t="s">
        <v>3314</v>
      </c>
      <c r="D801" s="68" t="s">
        <v>56</v>
      </c>
      <c r="E801" s="445">
        <f>INCÊNDIO!E37</f>
        <v>5</v>
      </c>
      <c r="F801" s="201">
        <v>163.19999999999999</v>
      </c>
      <c r="G801" s="201">
        <f>F801*(1+$E$2)</f>
        <v>206.82336000000001</v>
      </c>
      <c r="H801" s="201">
        <f>TRUNC((G801*E801),2)</f>
        <v>1034.1099999999999</v>
      </c>
    </row>
    <row r="802" spans="1:8" ht="31.5" outlineLevel="2" x14ac:dyDescent="0.25">
      <c r="A802" s="68" t="s">
        <v>2302</v>
      </c>
      <c r="B802" s="537" t="s">
        <v>3310</v>
      </c>
      <c r="C802" s="116" t="s">
        <v>3309</v>
      </c>
      <c r="D802" s="68" t="s">
        <v>56</v>
      </c>
      <c r="E802" s="445">
        <f>INCÊNDIO!E38</f>
        <v>4</v>
      </c>
      <c r="F802" s="201">
        <v>85.93</v>
      </c>
      <c r="G802" s="201">
        <f>F802*(1+$E$2)</f>
        <v>108.89908900000002</v>
      </c>
      <c r="H802" s="201">
        <f>TRUNC((G802*E802),2)</f>
        <v>435.59</v>
      </c>
    </row>
    <row r="803" spans="1:8" ht="31.5" outlineLevel="2" x14ac:dyDescent="0.25">
      <c r="A803" s="68" t="s">
        <v>2303</v>
      </c>
      <c r="B803" s="537" t="s">
        <v>3312</v>
      </c>
      <c r="C803" s="116" t="s">
        <v>3313</v>
      </c>
      <c r="D803" s="68" t="s">
        <v>56</v>
      </c>
      <c r="E803" s="445">
        <f>INCÊNDIO!E39</f>
        <v>4</v>
      </c>
      <c r="F803" s="201">
        <v>15.44</v>
      </c>
      <c r="G803" s="201">
        <f>F803*(1+$E$2)</f>
        <v>19.567112000000002</v>
      </c>
      <c r="H803" s="201">
        <f>TRUNC((G803*E803),2)</f>
        <v>78.260000000000005</v>
      </c>
    </row>
    <row r="804" spans="1:8" ht="31.5" outlineLevel="2" x14ac:dyDescent="0.25">
      <c r="A804" s="68" t="s">
        <v>2304</v>
      </c>
      <c r="B804" s="537">
        <v>72287</v>
      </c>
      <c r="C804" s="116" t="s">
        <v>3237</v>
      </c>
      <c r="D804" s="68" t="s">
        <v>56</v>
      </c>
      <c r="E804" s="445">
        <f>INCÊNDIO!E41</f>
        <v>1</v>
      </c>
      <c r="F804" s="201">
        <v>180.02</v>
      </c>
      <c r="G804" s="201">
        <f t="shared" ref="G804" si="276">F804*(1+$E$2)</f>
        <v>228.13934600000002</v>
      </c>
      <c r="H804" s="201">
        <f t="shared" ref="H804" si="277">TRUNC((G804*E804),2)</f>
        <v>228.13</v>
      </c>
    </row>
    <row r="805" spans="1:8" s="71" customFormat="1" outlineLevel="2" x14ac:dyDescent="0.25">
      <c r="A805" s="68" t="s">
        <v>2305</v>
      </c>
      <c r="B805" s="537" t="s">
        <v>3239</v>
      </c>
      <c r="C805" s="116" t="s">
        <v>3240</v>
      </c>
      <c r="D805" s="68" t="s">
        <v>56</v>
      </c>
      <c r="E805" s="445">
        <f>INCÊNDIO!E42</f>
        <v>4</v>
      </c>
      <c r="F805" s="201">
        <v>66.3</v>
      </c>
      <c r="G805" s="201">
        <f t="shared" si="272"/>
        <v>84.021990000000002</v>
      </c>
      <c r="H805" s="201">
        <f t="shared" si="273"/>
        <v>336.08</v>
      </c>
    </row>
    <row r="806" spans="1:8" s="71" customFormat="1" ht="47.25" outlineLevel="2" x14ac:dyDescent="0.25">
      <c r="A806" s="68" t="s">
        <v>2306</v>
      </c>
      <c r="B806" s="537">
        <v>92346</v>
      </c>
      <c r="C806" s="116" t="s">
        <v>3226</v>
      </c>
      <c r="D806" s="68" t="s">
        <v>56</v>
      </c>
      <c r="E806" s="445">
        <f>INCÊNDIO!E43</f>
        <v>11</v>
      </c>
      <c r="F806" s="221">
        <v>59.48</v>
      </c>
      <c r="G806" s="201">
        <f t="shared" si="272"/>
        <v>75.379003999999995</v>
      </c>
      <c r="H806" s="201">
        <f t="shared" si="273"/>
        <v>829.16</v>
      </c>
    </row>
    <row r="807" spans="1:8" ht="31.5" outlineLevel="2" x14ac:dyDescent="0.25">
      <c r="A807" s="68" t="s">
        <v>2307</v>
      </c>
      <c r="B807" s="537" t="s">
        <v>3308</v>
      </c>
      <c r="C807" s="116" t="s">
        <v>3307</v>
      </c>
      <c r="D807" s="68" t="s">
        <v>56</v>
      </c>
      <c r="E807" s="445">
        <f>INCÊNDIO!E44</f>
        <v>5</v>
      </c>
      <c r="F807" s="201">
        <v>213.23</v>
      </c>
      <c r="G807" s="201">
        <f t="shared" si="272"/>
        <v>270.22637900000001</v>
      </c>
      <c r="H807" s="201">
        <f t="shared" si="273"/>
        <v>1351.13</v>
      </c>
    </row>
    <row r="808" spans="1:8" ht="31.5" outlineLevel="2" x14ac:dyDescent="0.25">
      <c r="A808" s="68" t="s">
        <v>2521</v>
      </c>
      <c r="B808" s="537" t="s">
        <v>3245</v>
      </c>
      <c r="C808" s="116" t="str">
        <f>UPPER("Fornecimento e instalação de Registro gaveta bruto, d = 65 mm (2 1/2)")</f>
        <v>FORNECIMENTO E INSTALAÇÃO DE REGISTRO GAVETA BRUTO, D = 65 MM (2 1/2)</v>
      </c>
      <c r="D808" s="68" t="s">
        <v>56</v>
      </c>
      <c r="E808" s="445">
        <f>INCÊNDIO!E46</f>
        <v>4</v>
      </c>
      <c r="F808" s="201">
        <v>190.89</v>
      </c>
      <c r="G808" s="201">
        <f t="shared" ref="G808" si="278">F808*(1+$E$2)</f>
        <v>241.914897</v>
      </c>
      <c r="H808" s="201">
        <f t="shared" ref="H808" si="279">TRUNC((G808*E808),2)</f>
        <v>967.65</v>
      </c>
    </row>
    <row r="809" spans="1:8" s="71" customFormat="1" ht="31.5" outlineLevel="2" x14ac:dyDescent="0.25">
      <c r="A809" s="68" t="s">
        <v>2522</v>
      </c>
      <c r="B809" s="537" t="s">
        <v>315</v>
      </c>
      <c r="C809" s="116" t="s">
        <v>744</v>
      </c>
      <c r="D809" s="68" t="s">
        <v>56</v>
      </c>
      <c r="E809" s="445">
        <f>INCÊNDIO!E47</f>
        <v>1</v>
      </c>
      <c r="F809" s="201">
        <v>358.24</v>
      </c>
      <c r="G809" s="201">
        <f t="shared" si="272"/>
        <v>453.99755200000004</v>
      </c>
      <c r="H809" s="201">
        <f t="shared" si="273"/>
        <v>453.99</v>
      </c>
    </row>
    <row r="810" spans="1:8" s="71" customFormat="1" ht="31.5" outlineLevel="2" x14ac:dyDescent="0.25">
      <c r="A810" s="68" t="s">
        <v>2523</v>
      </c>
      <c r="B810" s="537" t="s">
        <v>1654</v>
      </c>
      <c r="C810" s="116" t="s">
        <v>3315</v>
      </c>
      <c r="D810" s="68" t="s">
        <v>56</v>
      </c>
      <c r="E810" s="445">
        <f>INCÊNDIO!E48</f>
        <v>1</v>
      </c>
      <c r="F810" s="201">
        <v>168.01</v>
      </c>
      <c r="G810" s="201">
        <f t="shared" si="272"/>
        <v>212.919073</v>
      </c>
      <c r="H810" s="201">
        <f t="shared" si="273"/>
        <v>212.91</v>
      </c>
    </row>
    <row r="811" spans="1:8" s="71" customFormat="1" outlineLevel="2" x14ac:dyDescent="0.25">
      <c r="A811" s="68" t="s">
        <v>2524</v>
      </c>
      <c r="B811" s="537">
        <v>73607</v>
      </c>
      <c r="C811" s="116" t="s">
        <v>3249</v>
      </c>
      <c r="D811" s="68" t="s">
        <v>56</v>
      </c>
      <c r="E811" s="445">
        <f>INCÊNDIO!E49</f>
        <v>1</v>
      </c>
      <c r="F811" s="201">
        <v>71.010000000000005</v>
      </c>
      <c r="G811" s="201">
        <f>F811*(1+$E$2)</f>
        <v>89.990973000000011</v>
      </c>
      <c r="H811" s="201">
        <f>TRUNC((G811*E811),2)</f>
        <v>89.99</v>
      </c>
    </row>
    <row r="812" spans="1:8" s="71" customFormat="1" ht="47.25" outlineLevel="2" x14ac:dyDescent="0.25">
      <c r="A812" s="68" t="s">
        <v>2525</v>
      </c>
      <c r="B812" s="537">
        <v>72132</v>
      </c>
      <c r="C812" s="116" t="s">
        <v>3251</v>
      </c>
      <c r="D812" s="68" t="s">
        <v>10</v>
      </c>
      <c r="E812" s="445">
        <f>INCÊNDIO!E50</f>
        <v>3.2</v>
      </c>
      <c r="F812" s="201">
        <v>54.73</v>
      </c>
      <c r="G812" s="201">
        <f t="shared" ref="G812:G814" si="280">F812*(1+$E$2)</f>
        <v>69.359329000000002</v>
      </c>
      <c r="H812" s="201">
        <f t="shared" ref="H812:H814" si="281">TRUNC((G812*E812),2)</f>
        <v>221.94</v>
      </c>
    </row>
    <row r="813" spans="1:8" s="71" customFormat="1" ht="47.25" outlineLevel="2" x14ac:dyDescent="0.25">
      <c r="A813" s="68" t="s">
        <v>2526</v>
      </c>
      <c r="B813" s="537" t="s">
        <v>3253</v>
      </c>
      <c r="C813" s="116" t="s">
        <v>3254</v>
      </c>
      <c r="D813" s="68" t="s">
        <v>56</v>
      </c>
      <c r="E813" s="445">
        <f>INCÊNDIO!E51</f>
        <v>5</v>
      </c>
      <c r="F813" s="201">
        <v>56.99</v>
      </c>
      <c r="G813" s="201">
        <f t="shared" si="280"/>
        <v>72.223427000000001</v>
      </c>
      <c r="H813" s="201">
        <f t="shared" si="281"/>
        <v>361.11</v>
      </c>
    </row>
    <row r="814" spans="1:8" s="71" customFormat="1" ht="31.5" outlineLevel="2" x14ac:dyDescent="0.25">
      <c r="A814" s="68" t="s">
        <v>2527</v>
      </c>
      <c r="B814" s="537" t="s">
        <v>2564</v>
      </c>
      <c r="C814" s="116" t="s">
        <v>3316</v>
      </c>
      <c r="D814" s="68" t="s">
        <v>56</v>
      </c>
      <c r="E814" s="445">
        <f>INCÊNDIO!E52</f>
        <v>1</v>
      </c>
      <c r="F814" s="201">
        <v>2656.22</v>
      </c>
      <c r="G814" s="201">
        <f t="shared" si="280"/>
        <v>3366.2276059999999</v>
      </c>
      <c r="H814" s="201">
        <f t="shared" si="281"/>
        <v>3366.22</v>
      </c>
    </row>
    <row r="815" spans="1:8" ht="47.25" outlineLevel="2" x14ac:dyDescent="0.25">
      <c r="A815" s="68" t="s">
        <v>2528</v>
      </c>
      <c r="B815" s="537" t="s">
        <v>3317</v>
      </c>
      <c r="C815" s="538" t="s">
        <v>3257</v>
      </c>
      <c r="D815" s="68" t="s">
        <v>99</v>
      </c>
      <c r="E815" s="445">
        <f>INCÊNDIO!E53</f>
        <v>155</v>
      </c>
      <c r="F815" s="201">
        <v>70.47</v>
      </c>
      <c r="G815" s="201">
        <f t="shared" si="272"/>
        <v>89.30663100000001</v>
      </c>
      <c r="H815" s="201">
        <f t="shared" si="273"/>
        <v>13842.52</v>
      </c>
    </row>
    <row r="816" spans="1:8" ht="78.75" outlineLevel="2" x14ac:dyDescent="0.25">
      <c r="A816" s="68" t="s">
        <v>2529</v>
      </c>
      <c r="B816" s="537">
        <v>94473</v>
      </c>
      <c r="C816" s="116" t="s">
        <v>902</v>
      </c>
      <c r="D816" s="68" t="s">
        <v>56</v>
      </c>
      <c r="E816" s="445">
        <f>INCÊNDIO!E54</f>
        <v>26</v>
      </c>
      <c r="F816" s="201">
        <v>78.94</v>
      </c>
      <c r="G816" s="201">
        <f t="shared" ref="G816" si="282">F816*(1+$E$2)</f>
        <v>100.040662</v>
      </c>
      <c r="H816" s="201">
        <f t="shared" ref="H816" si="283">TRUNC((G816*E816),2)</f>
        <v>2601.0500000000002</v>
      </c>
    </row>
    <row r="817" spans="1:8" s="71" customFormat="1" ht="78.75" outlineLevel="2" x14ac:dyDescent="0.25">
      <c r="A817" s="68" t="s">
        <v>2530</v>
      </c>
      <c r="B817" s="537">
        <v>94474</v>
      </c>
      <c r="C817" s="116" t="s">
        <v>903</v>
      </c>
      <c r="D817" s="68" t="s">
        <v>56</v>
      </c>
      <c r="E817" s="445">
        <f>INCÊNDIO!E55</f>
        <v>4</v>
      </c>
      <c r="F817" s="201">
        <v>85.82</v>
      </c>
      <c r="G817" s="201">
        <f t="shared" si="272"/>
        <v>108.759686</v>
      </c>
      <c r="H817" s="201">
        <f t="shared" si="273"/>
        <v>435.03</v>
      </c>
    </row>
    <row r="818" spans="1:8" ht="47.25" outlineLevel="2" x14ac:dyDescent="0.25">
      <c r="A818" s="68" t="s">
        <v>2531</v>
      </c>
      <c r="B818" s="537">
        <v>92378</v>
      </c>
      <c r="C818" s="116" t="s">
        <v>904</v>
      </c>
      <c r="D818" s="68" t="s">
        <v>56</v>
      </c>
      <c r="E818" s="445">
        <f>INCÊNDIO!E56</f>
        <v>26</v>
      </c>
      <c r="F818" s="201">
        <v>67.569999999999993</v>
      </c>
      <c r="G818" s="201">
        <f t="shared" si="272"/>
        <v>85.631461000000002</v>
      </c>
      <c r="H818" s="201">
        <f t="shared" si="273"/>
        <v>2226.41</v>
      </c>
    </row>
    <row r="819" spans="1:8" s="71" customFormat="1" ht="47.25" outlineLevel="2" x14ac:dyDescent="0.25">
      <c r="A819" s="68" t="s">
        <v>2532</v>
      </c>
      <c r="B819" s="537">
        <v>92642</v>
      </c>
      <c r="C819" s="116" t="s">
        <v>905</v>
      </c>
      <c r="D819" s="68" t="s">
        <v>56</v>
      </c>
      <c r="E819" s="445">
        <f>INCÊNDIO!E57</f>
        <v>10</v>
      </c>
      <c r="F819" s="221">
        <v>133.44</v>
      </c>
      <c r="G819" s="201">
        <f t="shared" si="272"/>
        <v>169.10851200000002</v>
      </c>
      <c r="H819" s="201">
        <f t="shared" si="273"/>
        <v>1691.08</v>
      </c>
    </row>
    <row r="820" spans="1:8" ht="31.5" outlineLevel="2" x14ac:dyDescent="0.25">
      <c r="A820" s="68" t="s">
        <v>2533</v>
      </c>
      <c r="B820" s="537" t="s">
        <v>316</v>
      </c>
      <c r="C820" s="116" t="s">
        <v>745</v>
      </c>
      <c r="D820" s="68" t="s">
        <v>56</v>
      </c>
      <c r="E820" s="445">
        <f>INCÊNDIO!E58</f>
        <v>1</v>
      </c>
      <c r="F820" s="201">
        <v>211.27</v>
      </c>
      <c r="G820" s="201">
        <f t="shared" ref="G820" si="284">F820*(1+$E$2)</f>
        <v>267.74247100000002</v>
      </c>
      <c r="H820" s="201">
        <f t="shared" ref="H820" si="285">TRUNC((G820*E820),2)</f>
        <v>267.74</v>
      </c>
    </row>
    <row r="821" spans="1:8" s="71" customFormat="1" ht="31.5" outlineLevel="2" x14ac:dyDescent="0.25">
      <c r="A821" s="68" t="s">
        <v>2534</v>
      </c>
      <c r="B821" s="537" t="s">
        <v>3264</v>
      </c>
      <c r="C821" s="116" t="s">
        <v>3265</v>
      </c>
      <c r="D821" s="68" t="s">
        <v>56</v>
      </c>
      <c r="E821" s="445">
        <f>INCÊNDIO!E59</f>
        <v>1</v>
      </c>
      <c r="F821" s="201">
        <v>1471.64</v>
      </c>
      <c r="G821" s="201">
        <f t="shared" si="272"/>
        <v>1865.0093720000002</v>
      </c>
      <c r="H821" s="201">
        <f t="shared" si="273"/>
        <v>1865</v>
      </c>
    </row>
    <row r="822" spans="1:8" s="71" customFormat="1" ht="31.5" outlineLevel="2" x14ac:dyDescent="0.25">
      <c r="A822" s="68" t="s">
        <v>2535</v>
      </c>
      <c r="B822" s="537" t="s">
        <v>1635</v>
      </c>
      <c r="C822" s="116" t="str">
        <f>UPPER("Cabo de cobre isolado em EPR flexível 10mm² - 0,6Kv/1Kv/90°")</f>
        <v>CABO DE COBRE ISOLADO EM EPR FLEXÍVEL 10MM² - 0,6KV/1KV/90°</v>
      </c>
      <c r="D822" s="68" t="s">
        <v>99</v>
      </c>
      <c r="E822" s="445">
        <f>INCÊNDIO!E60</f>
        <v>255</v>
      </c>
      <c r="F822" s="201">
        <v>9.06</v>
      </c>
      <c r="G822" s="201">
        <f t="shared" si="272"/>
        <v>11.481738000000002</v>
      </c>
      <c r="H822" s="201">
        <f t="shared" si="273"/>
        <v>2927.84</v>
      </c>
    </row>
    <row r="823" spans="1:8" ht="47.25" outlineLevel="2" x14ac:dyDescent="0.25">
      <c r="A823" s="68" t="s">
        <v>2536</v>
      </c>
      <c r="B823" s="537" t="s">
        <v>2562</v>
      </c>
      <c r="C823" s="116" t="str">
        <f>UPPER("Duto corrugado flexível em PEAD Ø = 1', tipo Kanalex ou similar, lançado diretamente no solo, exclusive escavação e reaterro")</f>
        <v>DUTO CORRUGADO FLEXÍVEL EM PEAD Ø = 1', TIPO KANALEX OU SIMILAR, LANÇADO DIRETAMENTE NO SOLO, EXCLUSIVE ESCAVAÇÃO E REATERRO</v>
      </c>
      <c r="D823" s="68" t="s">
        <v>99</v>
      </c>
      <c r="E823" s="445">
        <f>INCÊNDIO!E61</f>
        <v>160</v>
      </c>
      <c r="F823" s="201">
        <v>8.18</v>
      </c>
      <c r="G823" s="201">
        <f t="shared" si="272"/>
        <v>10.366514</v>
      </c>
      <c r="H823" s="201">
        <f t="shared" si="273"/>
        <v>1658.64</v>
      </c>
    </row>
    <row r="824" spans="1:8" s="71" customFormat="1" ht="47.25" outlineLevel="2" x14ac:dyDescent="0.25">
      <c r="A824" s="68" t="s">
        <v>2537</v>
      </c>
      <c r="B824" s="537" t="s">
        <v>2559</v>
      </c>
      <c r="C824" s="116" t="str">
        <f>UPPER("Duto corrugado flexível em PEAD Ø = 1.1/2', tipo Kanalex ou similar, lançado diretamente no solo, exclusive escavação e reaterro")</f>
        <v>DUTO CORRUGADO FLEXÍVEL EM PEAD Ø = 1.1/2', TIPO KANALEX OU SIMILAR, LANÇADO DIRETAMENTE NO SOLO, EXCLUSIVE ESCAVAÇÃO E REATERRO</v>
      </c>
      <c r="D824" s="68" t="s">
        <v>99</v>
      </c>
      <c r="E824" s="445">
        <f>INCÊNDIO!E62</f>
        <v>140</v>
      </c>
      <c r="F824" s="201">
        <v>8.9700000000000006</v>
      </c>
      <c r="G824" s="201">
        <f t="shared" si="272"/>
        <v>11.367681000000001</v>
      </c>
      <c r="H824" s="201">
        <f t="shared" si="273"/>
        <v>1591.47</v>
      </c>
    </row>
    <row r="825" spans="1:8" ht="47.25" outlineLevel="2" x14ac:dyDescent="0.25">
      <c r="A825" s="68" t="s">
        <v>2538</v>
      </c>
      <c r="B825" s="537" t="s">
        <v>286</v>
      </c>
      <c r="C825" s="116" t="s">
        <v>731</v>
      </c>
      <c r="D825" s="68" t="s">
        <v>99</v>
      </c>
      <c r="E825" s="445">
        <f>INCÊNDIO!E63</f>
        <v>20</v>
      </c>
      <c r="F825" s="201">
        <v>24.24</v>
      </c>
      <c r="G825" s="201">
        <f t="shared" si="272"/>
        <v>30.719352000000001</v>
      </c>
      <c r="H825" s="201">
        <f t="shared" si="273"/>
        <v>614.38</v>
      </c>
    </row>
    <row r="826" spans="1:8" outlineLevel="2" x14ac:dyDescent="0.25">
      <c r="A826" s="68" t="s">
        <v>2539</v>
      </c>
      <c r="B826" s="537" t="s">
        <v>3271</v>
      </c>
      <c r="C826" s="116" t="s">
        <v>3272</v>
      </c>
      <c r="D826" s="68" t="s">
        <v>10</v>
      </c>
      <c r="E826" s="445">
        <f>INCÊNDIO!E64</f>
        <v>10.199999999999999</v>
      </c>
      <c r="F826" s="201">
        <v>247.41</v>
      </c>
      <c r="G826" s="201">
        <f t="shared" si="272"/>
        <v>313.54269300000004</v>
      </c>
      <c r="H826" s="201">
        <f t="shared" si="273"/>
        <v>3198.13</v>
      </c>
    </row>
    <row r="827" spans="1:8" ht="78.75" outlineLevel="2" x14ac:dyDescent="0.25">
      <c r="A827" s="68" t="s">
        <v>2540</v>
      </c>
      <c r="B827" s="537" t="s">
        <v>685</v>
      </c>
      <c r="C827" s="116" t="s">
        <v>686</v>
      </c>
      <c r="D827" s="68" t="s">
        <v>56</v>
      </c>
      <c r="E827" s="445">
        <f>INCÊNDIO!E65</f>
        <v>26</v>
      </c>
      <c r="F827" s="201">
        <v>127.19</v>
      </c>
      <c r="G827" s="201">
        <f t="shared" si="272"/>
        <v>161.18788700000002</v>
      </c>
      <c r="H827" s="201">
        <f t="shared" si="273"/>
        <v>4190.88</v>
      </c>
    </row>
    <row r="828" spans="1:8" s="71" customFormat="1" ht="63" outlineLevel="2" x14ac:dyDescent="0.25">
      <c r="A828" s="68" t="s">
        <v>3318</v>
      </c>
      <c r="B828" s="537" t="s">
        <v>958</v>
      </c>
      <c r="C828" s="116" t="s">
        <v>2881</v>
      </c>
      <c r="D828" s="68" t="s">
        <v>10</v>
      </c>
      <c r="E828" s="445">
        <f>INCÊNDIO!E66</f>
        <v>42</v>
      </c>
      <c r="F828" s="201">
        <v>14.08</v>
      </c>
      <c r="G828" s="201">
        <f t="shared" si="272"/>
        <v>17.843584</v>
      </c>
      <c r="H828" s="201">
        <f t="shared" si="273"/>
        <v>749.43</v>
      </c>
    </row>
    <row r="829" spans="1:8" s="71" customFormat="1" ht="31.5" outlineLevel="2" x14ac:dyDescent="0.25">
      <c r="A829" s="68" t="s">
        <v>3319</v>
      </c>
      <c r="B829" s="537" t="s">
        <v>3276</v>
      </c>
      <c r="C829" s="116" t="s">
        <v>1636</v>
      </c>
      <c r="D829" s="68" t="s">
        <v>56</v>
      </c>
      <c r="E829" s="445">
        <f>INCÊNDIO!E67</f>
        <v>1</v>
      </c>
      <c r="F829" s="201">
        <v>212.04</v>
      </c>
      <c r="G829" s="201">
        <f t="shared" si="272"/>
        <v>268.71829200000002</v>
      </c>
      <c r="H829" s="201">
        <f t="shared" si="273"/>
        <v>268.70999999999998</v>
      </c>
    </row>
    <row r="830" spans="1:8" ht="31.5" outlineLevel="2" x14ac:dyDescent="0.25">
      <c r="A830" s="68" t="s">
        <v>3320</v>
      </c>
      <c r="B830" s="537">
        <v>93672</v>
      </c>
      <c r="C830" s="116" t="s">
        <v>3278</v>
      </c>
      <c r="D830" s="68" t="s">
        <v>56</v>
      </c>
      <c r="E830" s="445">
        <f>INCÊNDIO!E68</f>
        <v>2</v>
      </c>
      <c r="F830" s="201">
        <v>59.44</v>
      </c>
      <c r="G830" s="201">
        <f t="shared" ref="G830:G836" si="286">F830*(1+$E$2)</f>
        <v>75.328311999999997</v>
      </c>
      <c r="H830" s="201">
        <f t="shared" ref="H830:H836" si="287">TRUNC((G830*E830),2)</f>
        <v>150.65</v>
      </c>
    </row>
    <row r="831" spans="1:8" outlineLevel="2" x14ac:dyDescent="0.25">
      <c r="A831" s="68" t="s">
        <v>3321</v>
      </c>
      <c r="B831" s="537">
        <v>93358</v>
      </c>
      <c r="C831" s="116" t="s">
        <v>503</v>
      </c>
      <c r="D831" s="68" t="s">
        <v>3048</v>
      </c>
      <c r="E831" s="445">
        <f>INCÊNDIO!E69</f>
        <v>69</v>
      </c>
      <c r="F831" s="201">
        <v>54.9</v>
      </c>
      <c r="G831" s="201">
        <f t="shared" si="286"/>
        <v>69.574770000000001</v>
      </c>
      <c r="H831" s="201">
        <f t="shared" si="287"/>
        <v>4800.6499999999996</v>
      </c>
    </row>
    <row r="832" spans="1:8" s="71" customFormat="1" outlineLevel="2" x14ac:dyDescent="0.25">
      <c r="A832" s="68" t="s">
        <v>3322</v>
      </c>
      <c r="B832" s="537" t="s">
        <v>259</v>
      </c>
      <c r="C832" s="116" t="s">
        <v>506</v>
      </c>
      <c r="D832" s="68" t="s">
        <v>3048</v>
      </c>
      <c r="E832" s="445">
        <f>INCÊNDIO!E70</f>
        <v>74</v>
      </c>
      <c r="F832" s="201">
        <v>41.64</v>
      </c>
      <c r="G832" s="201">
        <f t="shared" si="286"/>
        <v>52.770372000000002</v>
      </c>
      <c r="H832" s="201">
        <f t="shared" si="287"/>
        <v>3905</v>
      </c>
    </row>
    <row r="833" spans="1:9" ht="31.5" outlineLevel="2" x14ac:dyDescent="0.25">
      <c r="A833" s="68" t="s">
        <v>3323</v>
      </c>
      <c r="B833" s="537" t="s">
        <v>3288</v>
      </c>
      <c r="C833" s="116" t="s">
        <v>3280</v>
      </c>
      <c r="D833" s="68" t="s">
        <v>99</v>
      </c>
      <c r="E833" s="445">
        <f>INCÊNDIO!E71</f>
        <v>8</v>
      </c>
      <c r="F833" s="201">
        <v>18.91</v>
      </c>
      <c r="G833" s="201">
        <f t="shared" si="286"/>
        <v>23.964643000000002</v>
      </c>
      <c r="H833" s="201">
        <f t="shared" si="287"/>
        <v>191.71</v>
      </c>
    </row>
    <row r="834" spans="1:9" s="71" customFormat="1" outlineLevel="2" x14ac:dyDescent="0.25">
      <c r="A834" s="68" t="s">
        <v>3324</v>
      </c>
      <c r="B834" s="537" t="s">
        <v>3291</v>
      </c>
      <c r="C834" s="116" t="s">
        <v>3281</v>
      </c>
      <c r="D834" s="68" t="s">
        <v>56</v>
      </c>
      <c r="E834" s="445">
        <f>INCÊNDIO!E72</f>
        <v>8</v>
      </c>
      <c r="F834" s="221">
        <v>4.1399999999999997</v>
      </c>
      <c r="G834" s="201">
        <f t="shared" si="286"/>
        <v>5.2466220000000003</v>
      </c>
      <c r="H834" s="201">
        <f t="shared" si="287"/>
        <v>41.97</v>
      </c>
    </row>
    <row r="835" spans="1:9" ht="31.5" outlineLevel="2" x14ac:dyDescent="0.25">
      <c r="A835" s="68" t="s">
        <v>3325</v>
      </c>
      <c r="B835" s="537" t="s">
        <v>3292</v>
      </c>
      <c r="C835" s="116" t="s">
        <v>3282</v>
      </c>
      <c r="D835" s="68" t="s">
        <v>56</v>
      </c>
      <c r="E835" s="445">
        <f>INCÊNDIO!E73</f>
        <v>10</v>
      </c>
      <c r="F835" s="201">
        <v>14.42</v>
      </c>
      <c r="G835" s="201">
        <f t="shared" si="286"/>
        <v>18.274466</v>
      </c>
      <c r="H835" s="201">
        <f t="shared" si="287"/>
        <v>182.74</v>
      </c>
    </row>
    <row r="836" spans="1:9" s="71" customFormat="1" ht="31.5" outlineLevel="2" x14ac:dyDescent="0.25">
      <c r="A836" s="68" t="s">
        <v>3326</v>
      </c>
      <c r="B836" s="537" t="s">
        <v>882</v>
      </c>
      <c r="C836" s="116" t="s">
        <v>3283</v>
      </c>
      <c r="D836" s="68" t="s">
        <v>56</v>
      </c>
      <c r="E836" s="445">
        <f>INCÊNDIO!E74</f>
        <v>8</v>
      </c>
      <c r="F836" s="201">
        <v>4.6100000000000003</v>
      </c>
      <c r="G836" s="201">
        <f t="shared" si="286"/>
        <v>5.8422530000000013</v>
      </c>
      <c r="H836" s="201">
        <f t="shared" si="287"/>
        <v>46.73</v>
      </c>
    </row>
    <row r="837" spans="1:9" outlineLevel="1" x14ac:dyDescent="0.25">
      <c r="A837" s="79"/>
      <c r="B837" s="79"/>
      <c r="C837" s="80" t="s">
        <v>14</v>
      </c>
      <c r="D837" s="79"/>
      <c r="E837" s="81"/>
      <c r="F837" s="203"/>
      <c r="G837" s="218"/>
      <c r="H837" s="218">
        <f>SUM(H797:H836)</f>
        <v>63546.47</v>
      </c>
    </row>
    <row r="838" spans="1:9" outlineLevel="1" x14ac:dyDescent="0.25">
      <c r="A838" s="170" t="s">
        <v>2308</v>
      </c>
      <c r="B838" s="170"/>
      <c r="C838" s="171" t="s">
        <v>207</v>
      </c>
      <c r="D838" s="170"/>
      <c r="E838" s="172"/>
      <c r="F838" s="200"/>
      <c r="G838" s="216"/>
      <c r="H838" s="216"/>
    </row>
    <row r="839" spans="1:9" ht="31.5" outlineLevel="2" x14ac:dyDescent="0.25">
      <c r="A839" s="68" t="s">
        <v>2309</v>
      </c>
      <c r="B839" s="68" t="s">
        <v>918</v>
      </c>
      <c r="C839" s="69" t="s">
        <v>919</v>
      </c>
      <c r="D839" s="68" t="s">
        <v>56</v>
      </c>
      <c r="E839" s="70">
        <f>INCÊNDIO!E76</f>
        <v>52</v>
      </c>
      <c r="F839" s="201">
        <v>34.549999999999997</v>
      </c>
      <c r="G839" s="217">
        <f t="shared" ref="G839" si="288">F839*(1+$E$2)</f>
        <v>43.785215000000001</v>
      </c>
      <c r="H839" s="217">
        <f t="shared" ref="H839" si="289">TRUNC((G839*E839),2)</f>
        <v>2276.83</v>
      </c>
    </row>
    <row r="840" spans="1:9" ht="31.5" outlineLevel="2" x14ac:dyDescent="0.25">
      <c r="A840" s="68" t="s">
        <v>2310</v>
      </c>
      <c r="B840" s="226" t="s">
        <v>2957</v>
      </c>
      <c r="C840" s="69" t="s">
        <v>1638</v>
      </c>
      <c r="D840" s="68" t="s">
        <v>56</v>
      </c>
      <c r="E840" s="70">
        <f>INCÊNDIO!E77</f>
        <v>3</v>
      </c>
      <c r="F840" s="221">
        <v>242.95</v>
      </c>
      <c r="G840" s="217">
        <f t="shared" ref="G840:G841" si="290">F840*(1+$E$2)</f>
        <v>307.890535</v>
      </c>
      <c r="H840" s="217">
        <f t="shared" ref="H840:H841" si="291">TRUNC((G840*E840),2)</f>
        <v>923.67</v>
      </c>
    </row>
    <row r="841" spans="1:9" ht="31.5" outlineLevel="2" x14ac:dyDescent="0.25">
      <c r="A841" s="68" t="s">
        <v>3356</v>
      </c>
      <c r="B841" s="68" t="s">
        <v>2121</v>
      </c>
      <c r="C841" s="116" t="s">
        <v>2122</v>
      </c>
      <c r="D841" s="523" t="s">
        <v>56</v>
      </c>
      <c r="E841" s="523">
        <f>INCÊNDIO!E79</f>
        <v>1</v>
      </c>
      <c r="F841" s="221">
        <v>18241.080000000002</v>
      </c>
      <c r="G841" s="217">
        <f t="shared" si="290"/>
        <v>23116.920684000004</v>
      </c>
      <c r="H841" s="217">
        <f t="shared" si="291"/>
        <v>23116.92</v>
      </c>
    </row>
    <row r="842" spans="1:9" outlineLevel="1" x14ac:dyDescent="0.25">
      <c r="A842" s="79"/>
      <c r="B842" s="79"/>
      <c r="C842" s="80" t="s">
        <v>14</v>
      </c>
      <c r="D842" s="79"/>
      <c r="E842" s="81"/>
      <c r="F842" s="203"/>
      <c r="G842" s="218"/>
      <c r="H842" s="218">
        <f>SUM(H839:H841)</f>
        <v>26317.42</v>
      </c>
    </row>
    <row r="843" spans="1:9" x14ac:dyDescent="0.25">
      <c r="A843" s="66"/>
      <c r="B843" s="66"/>
      <c r="C843" s="67" t="s">
        <v>211</v>
      </c>
      <c r="D843" s="66"/>
      <c r="E843" s="81"/>
      <c r="F843" s="202"/>
      <c r="G843" s="204"/>
      <c r="H843" s="204">
        <f>H769+H773+H795+H837+H842</f>
        <v>111027.38</v>
      </c>
    </row>
    <row r="844" spans="1:9" x14ac:dyDescent="0.25">
      <c r="A844" s="66"/>
      <c r="B844" s="66"/>
      <c r="C844" s="67" t="s">
        <v>35</v>
      </c>
      <c r="D844" s="66"/>
      <c r="E844" s="276"/>
      <c r="F844" s="204"/>
      <c r="G844" s="202"/>
      <c r="H844" s="204">
        <f>H843+H762+H659+H644+H441+H401+H268+H164+H26</f>
        <v>8442402.3600000013</v>
      </c>
      <c r="I844" s="123"/>
    </row>
    <row r="845" spans="1:9" x14ac:dyDescent="0.25">
      <c r="A845" s="697" t="s">
        <v>3357</v>
      </c>
      <c r="B845" s="697"/>
      <c r="C845" s="697"/>
      <c r="D845" s="697"/>
      <c r="E845" s="697"/>
      <c r="F845" s="697"/>
      <c r="G845" s="697"/>
      <c r="H845" s="697"/>
    </row>
    <row r="848" spans="1:9" x14ac:dyDescent="0.25">
      <c r="A848" s="57"/>
      <c r="B848" s="57"/>
      <c r="C848" s="72"/>
      <c r="D848" s="57"/>
      <c r="E848" s="71"/>
      <c r="F848" s="211"/>
      <c r="G848" s="211"/>
      <c r="H848" s="211"/>
    </row>
  </sheetData>
  <protectedRanges>
    <protectedRange sqref="F682" name="Intervalo1_11_1_1_1_2_2_2"/>
    <protectedRange sqref="F683:F690 F714 F705:F709 F719:F720 F725:F729" name="Intervalo1_11_1_1_1_1_1_1_2"/>
    <protectedRange sqref="F668:F669 F671 F640 F647:F657 F662:F666" name="Intervalo1_13_1_2_1_1_1_1_2"/>
    <protectedRange sqref="F691:F694 F675:F679" name="Intervalo1_4_1_1_1_1_1_1_2"/>
    <protectedRange sqref="F695:F699" name="Intervalo1_4_1_3_1_2_1_2"/>
    <protectedRange sqref="F680 F715:F717 F700 F722 F702:F704" name="Intervalo1_11_1_2_1_2"/>
    <protectedRange sqref="F670" name="Intervalo1_13_1_4_1_2"/>
    <protectedRange sqref="F674" name="Intervalo1_13_1_7_1_1_1_1_2"/>
    <protectedRange sqref="F681" name="Intervalo1_13_1_6_1_1_1_1_1_1"/>
    <protectedRange sqref="F667" name="Intervalo1_13_1_2_1_1_1_1_2_1"/>
    <protectedRange sqref="F673" name="Intervalo1_13_1_7_1_1_1_1_2_2"/>
    <protectedRange sqref="F721" name="Intervalo1_11_1_1_1_1_1_1_2_2"/>
    <protectedRange sqref="F701" name="Intervalo1_11_1_1_1_1_1_1_2_2_1"/>
    <protectedRange sqref="F718 F723:F724" name="Intervalo1_11_1_2_1_2_1_1"/>
    <protectedRange sqref="F484:F486" name="Intervalo1_11_1_2_1_1_2_1_1_1_2_1_2"/>
    <protectedRange sqref="F522:F523 F532" name="Intervalo1_4_1_2_1_1_2_1_2_1_1_1"/>
    <protectedRange sqref="F632 F628" name="Intervalo1_11_1_2_1_1_2_1_1_1_2_2_1"/>
    <protectedRange sqref="F543" name="Intervalo1_4_1_2_1_1_2_1_2_1_1_5"/>
    <protectedRange sqref="F533" name="Intervalo1_4_1_2_1_1_2_1_2_1_1_6"/>
    <protectedRange sqref="F563" name="Intervalo1_4_1_2_1_1_2_1_2_1_1_7"/>
  </protectedRanges>
  <mergeCells count="12">
    <mergeCell ref="B1:H1"/>
    <mergeCell ref="A5:H5"/>
    <mergeCell ref="A845:H845"/>
    <mergeCell ref="A27:H27"/>
    <mergeCell ref="A660:H660"/>
    <mergeCell ref="A442:H442"/>
    <mergeCell ref="A763:H763"/>
    <mergeCell ref="A269:H269"/>
    <mergeCell ref="A165:H165"/>
    <mergeCell ref="A402:H402"/>
    <mergeCell ref="A7:H7"/>
    <mergeCell ref="A645:H645"/>
  </mergeCells>
  <pageMargins left="0.51181102362204722" right="0.51181102362204722" top="0.89806547619047616" bottom="1.0629921259842521" header="0.31496062992125984" footer="0.31496062992125984"/>
  <pageSetup paperSize="9" scale="85" orientation="landscape" r:id="rId1"/>
  <headerFooter>
    <oddHeader>&amp;L&amp;G&amp;C&amp;"-,Negrito"&amp;9&amp;K00-035GOVERNO DO ESTADO DE MATO GROSSO&amp;"-,Regular"
SECRETARIA DE ESTADO DE EDUCAÇÃO
SECRETARIA ADJUNTA DE ESTRUTURA ESCOLAR&amp;R&amp;G</oddHeader>
    <oddFooter xml:space="preserve">&amp;L&amp;"-,Negrito"&amp;7&amp;K00-035Secretaria de Estado de Educação, Esporte e Lazer de Mato Grosso&amp;"-,Regular"
Rua Engenheiro Edgar Prado Arze, 215 - Centro Político Administrativo
CEP: 78049-909 | Cuiabá-MT
Fone: (65) 3613-6300&amp;C&amp;9&amp;K00-037&amp;P / &amp;N&amp;R&amp;7&amp;K00-036&amp;A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X100"/>
  <sheetViews>
    <sheetView showGridLines="0" zoomScaleNormal="100" zoomScalePageLayoutView="55" workbookViewId="0">
      <selection activeCell="T3" sqref="T3"/>
    </sheetView>
  </sheetViews>
  <sheetFormatPr defaultRowHeight="12.75" x14ac:dyDescent="0.25"/>
  <cols>
    <col min="1" max="1" width="10.7109375" style="3" customWidth="1"/>
    <col min="2" max="2" width="32.85546875" style="4" customWidth="1"/>
    <col min="3" max="3" width="17" style="3" bestFit="1" customWidth="1"/>
    <col min="4" max="4" width="10.5703125" style="5" customWidth="1"/>
    <col min="5" max="5" width="13.85546875" style="4" customWidth="1"/>
    <col min="6" max="6" width="13.85546875" style="4" bestFit="1" customWidth="1"/>
    <col min="7" max="7" width="13.85546875" style="4" customWidth="1"/>
    <col min="8" max="8" width="9.140625" style="4"/>
    <col min="9" max="9" width="14.5703125" style="4" bestFit="1" customWidth="1"/>
    <col min="10" max="10" width="9.140625" style="4"/>
    <col min="11" max="11" width="14.5703125" style="4" bestFit="1" customWidth="1"/>
    <col min="12" max="12" width="10.5703125" style="4" bestFit="1" customWidth="1"/>
    <col min="13" max="13" width="14.5703125" style="4" bestFit="1" customWidth="1"/>
    <col min="14" max="14" width="9.140625" style="4"/>
    <col min="15" max="15" width="15.42578125" style="4" bestFit="1" customWidth="1"/>
    <col min="16" max="16" width="9.7109375" style="4" bestFit="1" customWidth="1"/>
    <col min="17" max="17" width="15.42578125" style="4" bestFit="1" customWidth="1"/>
    <col min="18" max="18" width="11.42578125" style="4" customWidth="1"/>
    <col min="19" max="19" width="14.5703125" style="4" bestFit="1" customWidth="1"/>
    <col min="20" max="20" width="10.5703125" style="4" bestFit="1" customWidth="1"/>
    <col min="21" max="21" width="14.5703125" style="4" bestFit="1" customWidth="1"/>
    <col min="22" max="22" width="9.140625" style="4"/>
    <col min="23" max="23" width="14.5703125" style="4" bestFit="1" customWidth="1"/>
    <col min="24" max="16384" width="9.140625" style="4"/>
  </cols>
  <sheetData>
    <row r="1" spans="1:24" ht="57" customHeight="1" x14ac:dyDescent="0.25">
      <c r="A1" s="37" t="s">
        <v>2</v>
      </c>
      <c r="B1" s="690" t="str">
        <f>'PLANILHA ORÇAMENTARIA'!B1:C1</f>
        <v xml:space="preserve">Construção de Escola Padrão SEDUC/MT, constituída de:  16 salas de aula, sala de articulação, biblioteca e laboratórios de física, informática e química; Espaços Administrativos – diretoria, secretaria, coordenadoria, sala de professores, arquivo, copa, e sanitários; Refeitório  –  Cozinha com área de higienização, cocção, depósito de alimentos, depósito de utensílios, sanitários e serviços; Quadra Poliesportiva com vestiários feminino e masculino incluindo PCD F/M; instalações elétricas de baixa tensão, posto de transformação, SPDA , instalações hidrossanitárias e instalações combate a incêndio e pânico,  observando as normas vigentes de acessibilidade e segurança, na EE Souza Lima – Localizada no município de Várzea Grande/MT. </v>
      </c>
      <c r="C1" s="690"/>
      <c r="D1" s="690"/>
      <c r="E1" s="690"/>
      <c r="F1" s="690"/>
      <c r="G1" s="690"/>
      <c r="H1" s="690"/>
      <c r="I1" s="690"/>
      <c r="J1" s="690"/>
      <c r="K1" s="690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38.25" customHeight="1" x14ac:dyDescent="0.25">
      <c r="A2" s="1" t="s">
        <v>44</v>
      </c>
      <c r="B2" s="8" t="str">
        <f>'PLANILHA ORÇAMENTARIA'!B2</f>
        <v>Várzea Grande</v>
      </c>
      <c r="D2" s="10"/>
      <c r="Q2" s="108" t="s">
        <v>34</v>
      </c>
      <c r="R2" s="36">
        <f>'PLANILHA ORÇAMENTARIA'!E2</f>
        <v>0.26729999999999998</v>
      </c>
      <c r="T2" s="279" t="s">
        <v>46</v>
      </c>
      <c r="U2" s="554" t="str">
        <f>'PLANILHA ORÇAMENTARIA'!H2</f>
        <v xml:space="preserve">02/2017 SINAPI
</v>
      </c>
      <c r="V2" s="552"/>
    </row>
    <row r="3" spans="1:24" ht="15" customHeight="1" x14ac:dyDescent="0.25">
      <c r="A3" s="1" t="s">
        <v>45</v>
      </c>
      <c r="B3" s="8" t="str">
        <f>'PLANILHA ORÇAMENTARIA'!B3</f>
        <v>Avenida Principal, S/ nº, Souza Lima - Varzea Grande/ MT</v>
      </c>
      <c r="C3" s="9"/>
      <c r="D3" s="10"/>
      <c r="Q3" s="107" t="s">
        <v>244</v>
      </c>
      <c r="R3" s="105" t="s">
        <v>427</v>
      </c>
      <c r="U3" s="552"/>
      <c r="V3" s="552"/>
    </row>
    <row r="4" spans="1:24" ht="15.75" customHeight="1" thickBot="1" x14ac:dyDescent="0.3">
      <c r="A4" s="11"/>
      <c r="B4" s="12"/>
      <c r="C4" s="13"/>
      <c r="D4" s="14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553"/>
      <c r="V4" s="553"/>
      <c r="W4" s="29"/>
      <c r="X4" s="29"/>
    </row>
    <row r="5" spans="1:24" ht="13.5" thickTop="1" x14ac:dyDescent="0.25">
      <c r="A5" s="701" t="s">
        <v>426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</row>
    <row r="6" spans="1:24" s="3" customFormat="1" ht="12.75" customHeight="1" x14ac:dyDescent="0.25">
      <c r="A6" s="702" t="s">
        <v>0</v>
      </c>
      <c r="B6" s="702" t="s">
        <v>1</v>
      </c>
      <c r="C6" s="702" t="s">
        <v>37</v>
      </c>
      <c r="D6" s="705" t="s">
        <v>3</v>
      </c>
      <c r="E6" s="700" t="s">
        <v>38</v>
      </c>
      <c r="F6" s="703"/>
      <c r="G6" s="700" t="s">
        <v>40</v>
      </c>
      <c r="H6" s="703"/>
      <c r="I6" s="700" t="s">
        <v>41</v>
      </c>
      <c r="J6" s="703"/>
      <c r="K6" s="700" t="s">
        <v>42</v>
      </c>
      <c r="L6" s="703"/>
      <c r="M6" s="700" t="s">
        <v>212</v>
      </c>
      <c r="N6" s="703"/>
      <c r="O6" s="700" t="s">
        <v>213</v>
      </c>
      <c r="P6" s="703"/>
      <c r="Q6" s="700" t="s">
        <v>421</v>
      </c>
      <c r="R6" s="703"/>
      <c r="S6" s="700" t="s">
        <v>422</v>
      </c>
      <c r="T6" s="703"/>
      <c r="U6" s="700" t="s">
        <v>423</v>
      </c>
      <c r="V6" s="703"/>
      <c r="W6" s="700" t="s">
        <v>424</v>
      </c>
      <c r="X6" s="693"/>
    </row>
    <row r="7" spans="1:24" s="3" customFormat="1" x14ac:dyDescent="0.25">
      <c r="A7" s="704"/>
      <c r="B7" s="704"/>
      <c r="C7" s="704"/>
      <c r="D7" s="706"/>
      <c r="E7" s="19" t="s">
        <v>39</v>
      </c>
      <c r="F7" s="20" t="s">
        <v>3</v>
      </c>
      <c r="G7" s="19" t="s">
        <v>39</v>
      </c>
      <c r="H7" s="20" t="s">
        <v>3</v>
      </c>
      <c r="I7" s="19" t="s">
        <v>39</v>
      </c>
      <c r="J7" s="20" t="s">
        <v>3</v>
      </c>
      <c r="K7" s="19" t="s">
        <v>39</v>
      </c>
      <c r="L7" s="20" t="s">
        <v>3</v>
      </c>
      <c r="M7" s="19" t="s">
        <v>39</v>
      </c>
      <c r="N7" s="20" t="s">
        <v>3</v>
      </c>
      <c r="O7" s="19" t="s">
        <v>39</v>
      </c>
      <c r="P7" s="20" t="s">
        <v>3</v>
      </c>
      <c r="Q7" s="19" t="s">
        <v>39</v>
      </c>
      <c r="R7" s="20" t="s">
        <v>3</v>
      </c>
      <c r="S7" s="19" t="s">
        <v>39</v>
      </c>
      <c r="T7" s="20" t="s">
        <v>3</v>
      </c>
      <c r="U7" s="19" t="s">
        <v>39</v>
      </c>
      <c r="V7" s="20" t="s">
        <v>3</v>
      </c>
      <c r="W7" s="19" t="s">
        <v>39</v>
      </c>
      <c r="X7" s="124" t="s">
        <v>3</v>
      </c>
    </row>
    <row r="8" spans="1:24" s="3" customFormat="1" x14ac:dyDescent="0.25">
      <c r="A8" s="702" t="str">
        <f>RESUMO!A11</f>
        <v>PRELIMINARES</v>
      </c>
      <c r="B8" s="702"/>
      <c r="C8" s="702"/>
      <c r="D8" s="702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</row>
    <row r="9" spans="1:24" s="3" customFormat="1" x14ac:dyDescent="0.25">
      <c r="A9" s="3" t="str">
        <f>RESUMO!A12</f>
        <v>1.0</v>
      </c>
      <c r="B9" s="4" t="str">
        <f>RESUMO!B12</f>
        <v>ADMINISTRAÇÃO DE OBRA</v>
      </c>
      <c r="C9" s="15">
        <f>RESUMO!D12</f>
        <v>356951.13</v>
      </c>
      <c r="D9" s="16">
        <f>C9/$C$88</f>
        <v>4.2280753129136581E-2</v>
      </c>
      <c r="E9" s="17">
        <f>$C$9/10</f>
        <v>35695.112999999998</v>
      </c>
      <c r="F9" s="18">
        <f>E9/$C$9</f>
        <v>9.9999999999999992E-2</v>
      </c>
      <c r="G9" s="17">
        <f>$C$9/10</f>
        <v>35695.112999999998</v>
      </c>
      <c r="H9" s="18">
        <f>G9/$C$9</f>
        <v>9.9999999999999992E-2</v>
      </c>
      <c r="I9" s="17">
        <f>$C$9/10</f>
        <v>35695.112999999998</v>
      </c>
      <c r="J9" s="18">
        <f>I9/$C$9</f>
        <v>9.9999999999999992E-2</v>
      </c>
      <c r="K9" s="17">
        <f>$C$9/10</f>
        <v>35695.112999999998</v>
      </c>
      <c r="L9" s="18">
        <f>K9/$C$9</f>
        <v>9.9999999999999992E-2</v>
      </c>
      <c r="M9" s="17">
        <f>$C$9/10</f>
        <v>35695.112999999998</v>
      </c>
      <c r="N9" s="18">
        <f>M9/$C$9</f>
        <v>9.9999999999999992E-2</v>
      </c>
      <c r="O9" s="17">
        <f>$C$9/10</f>
        <v>35695.112999999998</v>
      </c>
      <c r="P9" s="18">
        <f>O9/$C$9</f>
        <v>9.9999999999999992E-2</v>
      </c>
      <c r="Q9" s="17">
        <f>$C$9/10</f>
        <v>35695.112999999998</v>
      </c>
      <c r="R9" s="18">
        <f>Q9/$C$9</f>
        <v>9.9999999999999992E-2</v>
      </c>
      <c r="S9" s="17">
        <f>$C$9/10</f>
        <v>35695.112999999998</v>
      </c>
      <c r="T9" s="18">
        <f>S9/$C$9</f>
        <v>9.9999999999999992E-2</v>
      </c>
      <c r="U9" s="17">
        <f>$C$9/10</f>
        <v>35695.112999999998</v>
      </c>
      <c r="V9" s="18">
        <f>U9/$C$9</f>
        <v>9.9999999999999992E-2</v>
      </c>
      <c r="W9" s="17">
        <f>$C$9/10</f>
        <v>35695.112999999998</v>
      </c>
      <c r="X9" s="18">
        <f>W9/$C$9</f>
        <v>9.9999999999999992E-2</v>
      </c>
    </row>
    <row r="10" spans="1:24" s="3" customFormat="1" x14ac:dyDescent="0.25">
      <c r="A10" s="3" t="str">
        <f>RESUMO!A13</f>
        <v>2.0</v>
      </c>
      <c r="B10" s="4" t="str">
        <f>RESUMO!B13</f>
        <v>SERVIÇOS  PRELIMINARES</v>
      </c>
      <c r="C10" s="15">
        <f>RESUMO!D13</f>
        <v>158880.51000000004</v>
      </c>
      <c r="D10" s="16">
        <f>C10/$C$88</f>
        <v>1.8819348240587772E-2</v>
      </c>
      <c r="E10" s="17">
        <f>C10*100%</f>
        <v>158880.51000000004</v>
      </c>
      <c r="F10" s="18">
        <f>E10/$C$12</f>
        <v>4.0963957093177239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 s="3" customFormat="1" x14ac:dyDescent="0.25">
      <c r="A11" s="702" t="str">
        <f>RESUMO!A15</f>
        <v>BLOCO DE SALAS DE AULA E ADMINISTRATIVO</v>
      </c>
      <c r="B11" s="702"/>
      <c r="C11" s="702"/>
      <c r="D11" s="70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spans="1:24" x14ac:dyDescent="0.25">
      <c r="A12" s="3" t="str">
        <f>RESUMO!A16</f>
        <v>3.0</v>
      </c>
      <c r="B12" s="4" t="str">
        <f>RESUMO!B16</f>
        <v>MOVIMENTAÇÃO DE TERRA (PLATÔ)</v>
      </c>
      <c r="C12" s="15">
        <f>RESUMO!D16</f>
        <v>38785.440000000002</v>
      </c>
      <c r="D12" s="16">
        <f t="shared" ref="D12:D26" si="0">C12/$C$88</f>
        <v>4.5941236091476701E-3</v>
      </c>
      <c r="E12" s="17">
        <f>C12*50%</f>
        <v>19392.72</v>
      </c>
      <c r="F12" s="18">
        <f>E12/$C$12</f>
        <v>0.5</v>
      </c>
      <c r="G12" s="17">
        <f>C12*50%</f>
        <v>19392.72</v>
      </c>
      <c r="H12" s="18">
        <f>G12/$C$12</f>
        <v>0.5</v>
      </c>
      <c r="I12" s="96"/>
      <c r="J12" s="97"/>
      <c r="K12" s="96"/>
      <c r="L12" s="97"/>
      <c r="M12" s="96"/>
      <c r="N12" s="97"/>
      <c r="O12" s="96"/>
      <c r="P12" s="97"/>
      <c r="Q12" s="96"/>
      <c r="R12" s="97"/>
      <c r="S12" s="96"/>
      <c r="T12" s="97"/>
      <c r="U12" s="96"/>
      <c r="V12" s="97"/>
      <c r="W12" s="96"/>
      <c r="X12" s="97"/>
    </row>
    <row r="13" spans="1:24" x14ac:dyDescent="0.25">
      <c r="A13" s="3" t="str">
        <f>RESUMO!A17</f>
        <v>4.0</v>
      </c>
      <c r="B13" s="4" t="str">
        <f>RESUMO!B17</f>
        <v>FUNDAÇÃO</v>
      </c>
      <c r="C13" s="15">
        <f>RESUMO!D17</f>
        <v>447486.74000000005</v>
      </c>
      <c r="D13" s="16">
        <f t="shared" si="0"/>
        <v>5.3004668685324316E-2</v>
      </c>
      <c r="G13" s="17">
        <f>C13*50%</f>
        <v>223743.37000000002</v>
      </c>
      <c r="H13" s="18">
        <f>G13/C13</f>
        <v>0.5</v>
      </c>
      <c r="I13" s="17">
        <f>C13*50%</f>
        <v>223743.37000000002</v>
      </c>
      <c r="J13" s="18">
        <f>I13/C13</f>
        <v>0.5</v>
      </c>
      <c r="K13" s="96"/>
      <c r="L13" s="97"/>
    </row>
    <row r="14" spans="1:24" x14ac:dyDescent="0.25">
      <c r="A14" s="3" t="str">
        <f>RESUMO!A18</f>
        <v>5.0</v>
      </c>
      <c r="B14" s="4" t="str">
        <f>RESUMO!B18</f>
        <v>MESO ESTRUTURA</v>
      </c>
      <c r="C14" s="15">
        <f>RESUMO!D18</f>
        <v>125672.69</v>
      </c>
      <c r="D14" s="16">
        <f t="shared" si="0"/>
        <v>1.4885892029434144E-2</v>
      </c>
      <c r="E14" s="96"/>
      <c r="F14" s="97"/>
      <c r="I14" s="17">
        <f>C14*50%</f>
        <v>62836.345000000001</v>
      </c>
      <c r="J14" s="18">
        <f>I14/C14</f>
        <v>0.5</v>
      </c>
      <c r="K14" s="17">
        <f>C14*50%</f>
        <v>62836.345000000001</v>
      </c>
      <c r="L14" s="18">
        <f>K14/C14</f>
        <v>0.5</v>
      </c>
      <c r="M14" s="96"/>
      <c r="N14" s="97"/>
      <c r="O14" s="96"/>
      <c r="P14" s="97"/>
    </row>
    <row r="15" spans="1:24" x14ac:dyDescent="0.25">
      <c r="A15" s="3" t="str">
        <f>RESUMO!A19</f>
        <v>6.0</v>
      </c>
      <c r="B15" s="4" t="str">
        <f>RESUMO!B19</f>
        <v>SUPER ESTRUTURA</v>
      </c>
      <c r="C15" s="15">
        <f>RESUMO!D19</f>
        <v>488537.87000000005</v>
      </c>
      <c r="D15" s="16">
        <f t="shared" si="0"/>
        <v>5.7867162588066942E-2</v>
      </c>
      <c r="I15" s="17">
        <f>C15*15%</f>
        <v>73280.680500000002</v>
      </c>
      <c r="J15" s="18">
        <f>I15/C15</f>
        <v>0.15</v>
      </c>
      <c r="K15" s="17">
        <f>C15*50%</f>
        <v>244268.93500000003</v>
      </c>
      <c r="L15" s="18">
        <f>K15/C15</f>
        <v>0.5</v>
      </c>
      <c r="M15" s="17">
        <f>C15*35%</f>
        <v>170988.25450000001</v>
      </c>
      <c r="N15" s="18">
        <f>M15/C15</f>
        <v>0.35</v>
      </c>
      <c r="Q15" s="96"/>
      <c r="R15" s="97"/>
      <c r="S15" s="96"/>
      <c r="T15" s="97"/>
      <c r="U15" s="96"/>
      <c r="V15" s="97"/>
    </row>
    <row r="16" spans="1:24" x14ac:dyDescent="0.25">
      <c r="A16" s="3" t="str">
        <f>RESUMO!A20</f>
        <v>7.0</v>
      </c>
      <c r="B16" s="4" t="str">
        <f>RESUMO!B20</f>
        <v>CONTRAPISO ARMADO</v>
      </c>
      <c r="C16" s="15">
        <f>RESUMO!D20</f>
        <v>203680.75</v>
      </c>
      <c r="D16" s="16">
        <f t="shared" si="0"/>
        <v>2.4125923086186572E-2</v>
      </c>
      <c r="E16" s="96"/>
      <c r="F16" s="97"/>
      <c r="K16" s="17">
        <f>C16*50%</f>
        <v>101840.375</v>
      </c>
      <c r="L16" s="18">
        <f>K16/C16</f>
        <v>0.5</v>
      </c>
      <c r="M16" s="17">
        <f>C16*50%</f>
        <v>101840.375</v>
      </c>
      <c r="N16" s="18">
        <f>M16/C16</f>
        <v>0.5</v>
      </c>
      <c r="O16" s="96"/>
      <c r="P16" s="97"/>
      <c r="Q16" s="96"/>
      <c r="R16" s="97"/>
      <c r="S16" s="96"/>
      <c r="T16" s="97"/>
    </row>
    <row r="17" spans="1:24" x14ac:dyDescent="0.25">
      <c r="A17" s="3" t="str">
        <f>RESUMO!A21</f>
        <v>8.0</v>
      </c>
      <c r="B17" s="4" t="str">
        <f>RESUMO!B21</f>
        <v>COBERTURA</v>
      </c>
      <c r="C17" s="15">
        <f>RESUMO!D21</f>
        <v>561505.66999999993</v>
      </c>
      <c r="D17" s="16">
        <f t="shared" si="0"/>
        <v>6.6510176375910141E-2</v>
      </c>
      <c r="E17" s="96"/>
      <c r="F17" s="97"/>
      <c r="G17" s="96"/>
      <c r="H17" s="97"/>
      <c r="I17" s="96"/>
      <c r="J17" s="97"/>
      <c r="K17" s="96"/>
      <c r="L17" s="97"/>
      <c r="O17" s="17">
        <f>C17*100%</f>
        <v>561505.66999999993</v>
      </c>
      <c r="P17" s="18">
        <f>O17/C17</f>
        <v>1</v>
      </c>
      <c r="Q17" s="77"/>
      <c r="R17" s="77"/>
      <c r="S17" s="96"/>
      <c r="T17" s="97"/>
    </row>
    <row r="18" spans="1:24" x14ac:dyDescent="0.25">
      <c r="A18" s="3" t="str">
        <f>RESUMO!A22</f>
        <v>9.0</v>
      </c>
      <c r="B18" s="4" t="str">
        <f>RESUMO!B22</f>
        <v>ESQUADRIAS</v>
      </c>
      <c r="C18" s="15">
        <f>RESUMO!D22</f>
        <v>333392.36</v>
      </c>
      <c r="D18" s="16">
        <f t="shared" si="0"/>
        <v>3.9490223965113175E-2</v>
      </c>
      <c r="E18" s="96"/>
      <c r="F18" s="97"/>
      <c r="G18" s="96"/>
      <c r="H18" s="97"/>
      <c r="I18" s="96"/>
      <c r="J18" s="97"/>
      <c r="K18" s="96"/>
      <c r="L18" s="97"/>
      <c r="O18" s="96"/>
      <c r="P18" s="97"/>
      <c r="Q18" s="17">
        <f>C18*100%</f>
        <v>333392.36</v>
      </c>
      <c r="R18" s="18">
        <f>Q18/C18</f>
        <v>1</v>
      </c>
      <c r="S18" s="96"/>
      <c r="T18" s="97"/>
    </row>
    <row r="19" spans="1:24" x14ac:dyDescent="0.25">
      <c r="A19" s="3" t="str">
        <f>RESUMO!A23</f>
        <v>10.0</v>
      </c>
      <c r="B19" s="4" t="str">
        <f>RESUMO!B23</f>
        <v>ELEMENTOS DE VEDAÇÃO</v>
      </c>
      <c r="C19" s="15">
        <f>RESUMO!D23</f>
        <v>242355.56</v>
      </c>
      <c r="D19" s="16">
        <f t="shared" si="0"/>
        <v>2.8706942605374711E-2</v>
      </c>
      <c r="E19" s="96"/>
      <c r="F19" s="97"/>
      <c r="G19" s="96"/>
      <c r="H19" s="97"/>
      <c r="I19" s="96"/>
      <c r="J19" s="97"/>
      <c r="K19" s="96"/>
      <c r="L19" s="97"/>
      <c r="M19" s="96"/>
      <c r="N19" s="97"/>
      <c r="O19" s="17">
        <f>C19*40%</f>
        <v>96942.224000000002</v>
      </c>
      <c r="P19" s="18">
        <f>O19/C19</f>
        <v>0.4</v>
      </c>
      <c r="Q19" s="17">
        <f>C19*60%</f>
        <v>145413.33599999998</v>
      </c>
      <c r="R19" s="18">
        <f>Q19/C19</f>
        <v>0.6</v>
      </c>
      <c r="S19" s="96"/>
      <c r="T19" s="97"/>
    </row>
    <row r="20" spans="1:24" x14ac:dyDescent="0.25">
      <c r="A20" s="3" t="str">
        <f>RESUMO!A24</f>
        <v>11.0</v>
      </c>
      <c r="B20" s="4" t="str">
        <f>RESUMO!B24</f>
        <v>REVESTIMENTO</v>
      </c>
      <c r="C20" s="15">
        <f>RESUMO!D24</f>
        <v>597550.40999999992</v>
      </c>
      <c r="D20" s="16">
        <f t="shared" si="0"/>
        <v>7.077966490097494E-2</v>
      </c>
      <c r="E20" s="96"/>
      <c r="F20" s="97"/>
      <c r="G20" s="96"/>
      <c r="H20" s="97"/>
      <c r="I20" s="96"/>
      <c r="J20" s="97"/>
      <c r="K20" s="96"/>
      <c r="L20" s="97"/>
      <c r="O20" s="17">
        <f>C20*50%</f>
        <v>298775.20499999996</v>
      </c>
      <c r="P20" s="18">
        <f>O20/C20</f>
        <v>0.5</v>
      </c>
      <c r="Q20" s="17">
        <f>C20*50%</f>
        <v>298775.20499999996</v>
      </c>
      <c r="R20" s="18">
        <f>Q20/C20</f>
        <v>0.5</v>
      </c>
      <c r="S20" s="96"/>
      <c r="T20" s="97"/>
    </row>
    <row r="21" spans="1:24" x14ac:dyDescent="0.25">
      <c r="A21" s="3" t="str">
        <f>RESUMO!A25</f>
        <v>12.0</v>
      </c>
      <c r="B21" s="4" t="str">
        <f>RESUMO!B25</f>
        <v>PISOS</v>
      </c>
      <c r="C21" s="15">
        <f>RESUMO!D25</f>
        <v>184462.71</v>
      </c>
      <c r="D21" s="16">
        <f t="shared" si="0"/>
        <v>2.1849552074653784E-2</v>
      </c>
      <c r="E21" s="96"/>
      <c r="F21" s="97"/>
      <c r="G21" s="96"/>
      <c r="H21" s="97"/>
      <c r="I21" s="96"/>
      <c r="J21" s="97"/>
      <c r="Q21" s="17">
        <f>C21*50%</f>
        <v>92231.354999999996</v>
      </c>
      <c r="R21" s="18">
        <f>Q21/C21</f>
        <v>0.5</v>
      </c>
      <c r="S21" s="17">
        <f>C21*50%</f>
        <v>92231.354999999996</v>
      </c>
      <c r="T21" s="18">
        <f>S21/C21</f>
        <v>0.5</v>
      </c>
      <c r="U21" s="96"/>
      <c r="V21" s="97"/>
    </row>
    <row r="22" spans="1:24" x14ac:dyDescent="0.25">
      <c r="A22" s="3" t="str">
        <f>RESUMO!A26</f>
        <v>13.0</v>
      </c>
      <c r="B22" s="4" t="str">
        <f>RESUMO!B26</f>
        <v>PINTURA INTERNA E EXTERNA</v>
      </c>
      <c r="C22" s="15">
        <f>RESUMO!D26</f>
        <v>146419.37000000002</v>
      </c>
      <c r="D22" s="16">
        <f t="shared" si="0"/>
        <v>1.7343329985518487E-2</v>
      </c>
      <c r="E22" s="96"/>
      <c r="F22" s="97"/>
      <c r="G22" s="96"/>
      <c r="H22" s="97"/>
      <c r="I22" s="96"/>
      <c r="J22" s="97"/>
      <c r="K22" s="96"/>
      <c r="L22" s="97"/>
      <c r="M22" s="96"/>
      <c r="N22" s="97"/>
      <c r="Q22" s="17">
        <f>C22*50%</f>
        <v>73209.685000000012</v>
      </c>
      <c r="R22" s="18">
        <f>Q22/C22</f>
        <v>0.5</v>
      </c>
      <c r="S22" s="17">
        <f>C22*50%</f>
        <v>73209.685000000012</v>
      </c>
      <c r="T22" s="18">
        <f>S22/C22</f>
        <v>0.5</v>
      </c>
    </row>
    <row r="23" spans="1:24" x14ac:dyDescent="0.25">
      <c r="A23" s="3" t="str">
        <f>RESUMO!A27</f>
        <v>14.0</v>
      </c>
      <c r="B23" s="4" t="str">
        <f>RESUMO!B27</f>
        <v>FORROS E DIVISÓRIAS</v>
      </c>
      <c r="C23" s="15">
        <f>RESUMO!D27</f>
        <v>25940.77</v>
      </c>
      <c r="D23" s="16">
        <f t="shared" si="0"/>
        <v>3.0726763418558508E-3</v>
      </c>
      <c r="E23" s="96"/>
      <c r="F23" s="97"/>
      <c r="G23" s="96"/>
      <c r="H23" s="97"/>
      <c r="I23" s="96"/>
      <c r="J23" s="97"/>
      <c r="K23" s="96"/>
      <c r="L23" s="97"/>
      <c r="M23" s="96"/>
      <c r="N23" s="97"/>
      <c r="O23" s="96"/>
      <c r="P23" s="97"/>
      <c r="Q23" s="96"/>
      <c r="R23" s="97"/>
      <c r="S23" s="17">
        <f>C23*100%</f>
        <v>25940.77</v>
      </c>
      <c r="T23" s="18">
        <f>S23/C23</f>
        <v>1</v>
      </c>
    </row>
    <row r="24" spans="1:24" x14ac:dyDescent="0.25">
      <c r="A24" s="3" t="str">
        <f>RESUMO!A28</f>
        <v>15.0</v>
      </c>
      <c r="B24" s="4" t="str">
        <f>RESUMO!B28</f>
        <v>ACESSIBILIDADE</v>
      </c>
      <c r="C24" s="15">
        <f>RESUMO!D28</f>
        <v>79814.900000000009</v>
      </c>
      <c r="D24" s="16">
        <f t="shared" si="0"/>
        <v>9.454050706960147E-3</v>
      </c>
      <c r="E24" s="96"/>
      <c r="F24" s="97"/>
      <c r="G24" s="96"/>
      <c r="H24" s="97"/>
      <c r="I24" s="96"/>
      <c r="J24" s="97"/>
      <c r="K24" s="96"/>
      <c r="L24" s="97"/>
      <c r="M24" s="96"/>
      <c r="N24" s="97"/>
      <c r="O24" s="96"/>
      <c r="P24" s="97"/>
      <c r="Q24" s="96"/>
      <c r="R24" s="97"/>
      <c r="S24" s="17">
        <f>C24*100%</f>
        <v>79814.900000000009</v>
      </c>
      <c r="T24" s="18">
        <f>S24/C24</f>
        <v>1</v>
      </c>
      <c r="U24" s="96"/>
      <c r="V24" s="97"/>
      <c r="W24" s="96"/>
      <c r="X24" s="97"/>
    </row>
    <row r="25" spans="1:24" x14ac:dyDescent="0.25">
      <c r="A25" s="3" t="str">
        <f>RESUMO!A29</f>
        <v>16.0</v>
      </c>
      <c r="B25" s="4" t="str">
        <f>RESUMO!B29</f>
        <v>SERVIÇOS COMPLEMENTARES</v>
      </c>
      <c r="C25" s="15">
        <f>RESUMO!D29</f>
        <v>115504.56000000001</v>
      </c>
      <c r="D25" s="16">
        <f t="shared" si="0"/>
        <v>1.3681480113677029E-2</v>
      </c>
      <c r="E25" s="96"/>
      <c r="F25" s="97"/>
      <c r="G25" s="96"/>
      <c r="H25" s="97"/>
      <c r="I25" s="96"/>
      <c r="J25" s="97"/>
      <c r="K25" s="96"/>
      <c r="L25" s="97"/>
      <c r="M25" s="77"/>
      <c r="N25" s="77"/>
      <c r="O25" s="96"/>
      <c r="P25" s="97"/>
      <c r="Q25" s="96"/>
      <c r="R25" s="97"/>
      <c r="S25" s="96"/>
      <c r="T25" s="97"/>
      <c r="U25" s="17">
        <f>C25*100%</f>
        <v>115504.56000000001</v>
      </c>
      <c r="V25" s="18">
        <f>U25/C25</f>
        <v>1</v>
      </c>
      <c r="W25" s="96"/>
      <c r="X25" s="97"/>
    </row>
    <row r="26" spans="1:24" x14ac:dyDescent="0.25">
      <c r="A26" s="3" t="str">
        <f>RESUMO!A30</f>
        <v>17.0</v>
      </c>
      <c r="B26" s="4" t="str">
        <f>RESUMO!B30</f>
        <v>LIMPEZA</v>
      </c>
      <c r="C26" s="15">
        <f>RESUMO!D30</f>
        <v>20330.580000000002</v>
      </c>
      <c r="D26" s="16">
        <f t="shared" si="0"/>
        <v>2.4081510372362782E-3</v>
      </c>
      <c r="E26" s="96"/>
      <c r="F26" s="97"/>
      <c r="G26" s="96"/>
      <c r="H26" s="97"/>
      <c r="I26" s="96"/>
      <c r="J26" s="97"/>
      <c r="K26" s="96"/>
      <c r="L26" s="97"/>
      <c r="M26" s="77"/>
      <c r="N26" s="77"/>
      <c r="O26" s="96"/>
      <c r="P26" s="97"/>
      <c r="Q26" s="96"/>
      <c r="R26" s="97"/>
      <c r="S26" s="96"/>
      <c r="T26" s="97"/>
      <c r="U26" s="17">
        <f>C26*100%</f>
        <v>20330.580000000002</v>
      </c>
      <c r="V26" s="18">
        <f>U26/C26</f>
        <v>1</v>
      </c>
      <c r="W26" s="96"/>
      <c r="X26" s="97"/>
    </row>
    <row r="27" spans="1:24" x14ac:dyDescent="0.25">
      <c r="A27" s="702" t="str">
        <f>RESUMO!A32</f>
        <v>REFEITÓRIO</v>
      </c>
      <c r="B27" s="702"/>
      <c r="C27" s="702"/>
      <c r="D27" s="702"/>
      <c r="E27" s="101"/>
      <c r="F27" s="102"/>
      <c r="G27" s="101"/>
      <c r="H27" s="102"/>
      <c r="I27" s="101"/>
      <c r="J27" s="102"/>
      <c r="K27" s="101"/>
      <c r="L27" s="102"/>
      <c r="M27" s="101"/>
      <c r="N27" s="102"/>
      <c r="O27" s="101"/>
      <c r="P27" s="102"/>
      <c r="Q27" s="101"/>
      <c r="R27" s="102"/>
      <c r="S27" s="101"/>
      <c r="T27" s="102"/>
      <c r="U27" s="101"/>
      <c r="V27" s="102"/>
      <c r="W27" s="101"/>
      <c r="X27" s="102"/>
    </row>
    <row r="28" spans="1:24" x14ac:dyDescent="0.25">
      <c r="A28" s="3" t="str">
        <f>RESUMO!A33</f>
        <v>18.0</v>
      </c>
      <c r="B28" s="4" t="str">
        <f>RESUMO!B33</f>
        <v>MOVIMENTAÇÃO DE TERRA (PLATÔ)</v>
      </c>
      <c r="C28" s="15">
        <f>RESUMO!D33</f>
        <v>8613.9</v>
      </c>
      <c r="D28" s="16">
        <f t="shared" ref="D28:D40" si="1">C28/$C$88</f>
        <v>1.0203138434638644E-3</v>
      </c>
      <c r="E28" s="17">
        <f>C28*50%</f>
        <v>4306.95</v>
      </c>
      <c r="F28" s="18">
        <f>E28/$C$12</f>
        <v>0.11104553667561846</v>
      </c>
      <c r="G28" s="17">
        <f>C28*50%</f>
        <v>4306.95</v>
      </c>
      <c r="H28" s="18">
        <f>G28/$C$12</f>
        <v>0.11104553667561846</v>
      </c>
      <c r="I28" s="96"/>
      <c r="J28" s="97"/>
      <c r="K28" s="96"/>
      <c r="L28" s="97"/>
      <c r="M28" s="96"/>
      <c r="N28" s="97"/>
      <c r="O28" s="96"/>
      <c r="P28" s="97"/>
      <c r="Q28" s="96"/>
      <c r="R28" s="97"/>
      <c r="S28" s="96"/>
      <c r="T28" s="97"/>
      <c r="U28" s="96"/>
      <c r="V28" s="97"/>
      <c r="W28" s="96"/>
      <c r="X28" s="97"/>
    </row>
    <row r="29" spans="1:24" x14ac:dyDescent="0.25">
      <c r="A29" s="3" t="str">
        <f>RESUMO!A34</f>
        <v>19.0</v>
      </c>
      <c r="B29" s="4" t="str">
        <f>RESUMO!B34</f>
        <v>FUNDAÇÃO</v>
      </c>
      <c r="C29" s="15">
        <f>RESUMO!D34</f>
        <v>120492.25</v>
      </c>
      <c r="D29" s="16">
        <f t="shared" si="1"/>
        <v>1.4272270482024266E-2</v>
      </c>
      <c r="G29" s="17">
        <f>C29*70%</f>
        <v>84344.574999999997</v>
      </c>
      <c r="H29" s="18">
        <f>G29/C29</f>
        <v>0.7</v>
      </c>
      <c r="I29" s="17">
        <f>C29*30%</f>
        <v>36147.674999999996</v>
      </c>
      <c r="J29" s="18">
        <f>I29/C29</f>
        <v>0.3</v>
      </c>
      <c r="K29" s="96"/>
      <c r="L29" s="97"/>
      <c r="O29" s="96"/>
      <c r="P29" s="97"/>
      <c r="Q29" s="96"/>
      <c r="R29" s="97"/>
      <c r="S29" s="96"/>
      <c r="T29" s="97"/>
      <c r="U29" s="96"/>
      <c r="V29" s="97"/>
      <c r="W29" s="96"/>
      <c r="X29" s="97"/>
    </row>
    <row r="30" spans="1:24" x14ac:dyDescent="0.25">
      <c r="A30" s="3" t="str">
        <f>RESUMO!A35</f>
        <v>20.0</v>
      </c>
      <c r="B30" s="4" t="str">
        <f>RESUMO!B35</f>
        <v>MESO ESTRUTURA</v>
      </c>
      <c r="C30" s="15">
        <f>RESUMO!D35</f>
        <v>40888.25</v>
      </c>
      <c r="D30" s="16">
        <f t="shared" si="1"/>
        <v>4.8432008161240969E-3</v>
      </c>
      <c r="E30" s="96"/>
      <c r="F30" s="97"/>
      <c r="I30" s="17">
        <f>C30*70%</f>
        <v>28621.774999999998</v>
      </c>
      <c r="J30" s="18">
        <f>I30/C30</f>
        <v>0.7</v>
      </c>
      <c r="K30" s="17">
        <f>C30*30%</f>
        <v>12266.475</v>
      </c>
      <c r="L30" s="18">
        <f>K30/C30</f>
        <v>0.3</v>
      </c>
      <c r="M30" s="96"/>
      <c r="N30" s="97"/>
      <c r="O30" s="96"/>
      <c r="P30" s="97"/>
      <c r="Q30" s="96"/>
      <c r="R30" s="97"/>
      <c r="S30" s="96"/>
      <c r="T30" s="97"/>
      <c r="U30" s="96"/>
      <c r="V30" s="97"/>
      <c r="W30" s="96"/>
      <c r="X30" s="97"/>
    </row>
    <row r="31" spans="1:24" x14ac:dyDescent="0.25">
      <c r="A31" s="3" t="str">
        <f>RESUMO!A36</f>
        <v>21.0</v>
      </c>
      <c r="B31" s="4" t="str">
        <f>RESUMO!B36</f>
        <v>SUPER ESTRUTURA</v>
      </c>
      <c r="C31" s="15">
        <f>RESUMO!D36</f>
        <v>42925.45</v>
      </c>
      <c r="D31" s="16">
        <f t="shared" si="1"/>
        <v>5.0845065384919653E-3</v>
      </c>
      <c r="I31" s="96"/>
      <c r="J31" s="97"/>
      <c r="K31" s="17">
        <f>C31*50%</f>
        <v>21462.724999999999</v>
      </c>
      <c r="L31" s="18">
        <f>K31/C31</f>
        <v>0.5</v>
      </c>
      <c r="M31" s="17">
        <f>C31*50%</f>
        <v>21462.724999999999</v>
      </c>
      <c r="N31" s="18">
        <f>M31/C31</f>
        <v>0.5</v>
      </c>
      <c r="O31" s="96"/>
      <c r="P31" s="97"/>
      <c r="Q31" s="96"/>
      <c r="R31" s="97"/>
      <c r="S31" s="96"/>
      <c r="T31" s="97"/>
      <c r="U31" s="96"/>
      <c r="V31" s="97"/>
      <c r="W31" s="96"/>
      <c r="X31" s="97"/>
    </row>
    <row r="32" spans="1:24" x14ac:dyDescent="0.25">
      <c r="A32" s="3" t="str">
        <f>RESUMO!A37</f>
        <v>22.0</v>
      </c>
      <c r="B32" s="4" t="str">
        <f>RESUMO!B37</f>
        <v>CONTRAPISO ARMADO</v>
      </c>
      <c r="C32" s="15">
        <f>RESUMO!D37</f>
        <v>20055.28</v>
      </c>
      <c r="D32" s="16">
        <f t="shared" si="1"/>
        <v>2.3755418357008988E-3</v>
      </c>
      <c r="E32" s="96"/>
      <c r="F32" s="97"/>
      <c r="K32" s="96"/>
      <c r="L32" s="97"/>
      <c r="M32" s="17">
        <f>C32*100%</f>
        <v>20055.28</v>
      </c>
      <c r="N32" s="18">
        <f>M32/C32</f>
        <v>1</v>
      </c>
      <c r="O32" s="96"/>
      <c r="P32" s="97"/>
      <c r="Q32" s="96"/>
      <c r="R32" s="97"/>
      <c r="S32" s="96"/>
      <c r="T32" s="97"/>
      <c r="U32" s="96"/>
      <c r="V32" s="97"/>
      <c r="W32" s="96"/>
      <c r="X32" s="97"/>
    </row>
    <row r="33" spans="1:24" x14ac:dyDescent="0.25">
      <c r="A33" s="3" t="str">
        <f>RESUMO!A38</f>
        <v>23.0</v>
      </c>
      <c r="B33" s="4" t="str">
        <f>RESUMO!B38</f>
        <v>ELEMENTOS DE VEDAÇÃO</v>
      </c>
      <c r="C33" s="15">
        <f>RESUMO!D38</f>
        <v>34757.19</v>
      </c>
      <c r="D33" s="16">
        <f t="shared" si="1"/>
        <v>4.116978617920315E-3</v>
      </c>
      <c r="E33" s="96"/>
      <c r="F33" s="97"/>
      <c r="G33" s="96"/>
      <c r="H33" s="97"/>
      <c r="I33" s="96"/>
      <c r="J33" s="97"/>
      <c r="K33" s="96"/>
      <c r="L33" s="97"/>
      <c r="M33" s="17">
        <f>C33*40%</f>
        <v>13902.876000000002</v>
      </c>
      <c r="N33" s="18">
        <f>M33/C33</f>
        <v>0.4</v>
      </c>
      <c r="O33" s="17">
        <f>C33*60%</f>
        <v>20854.314000000002</v>
      </c>
      <c r="P33" s="18">
        <f>O33/C33</f>
        <v>0.6</v>
      </c>
      <c r="S33" s="96"/>
      <c r="T33" s="97"/>
      <c r="U33" s="96"/>
      <c r="V33" s="97"/>
      <c r="W33" s="96"/>
      <c r="X33" s="97"/>
    </row>
    <row r="34" spans="1:24" x14ac:dyDescent="0.25">
      <c r="A34" s="3" t="str">
        <f>RESUMO!A39</f>
        <v>24.0</v>
      </c>
      <c r="B34" s="4" t="str">
        <f>RESUMO!B39</f>
        <v>COBERTURA</v>
      </c>
      <c r="C34" s="15">
        <f>RESUMO!D39</f>
        <v>91970.6</v>
      </c>
      <c r="D34" s="16">
        <f t="shared" si="1"/>
        <v>1.0893889686631806E-2</v>
      </c>
      <c r="E34" s="96"/>
      <c r="F34" s="97"/>
      <c r="G34" s="96"/>
      <c r="H34" s="97"/>
      <c r="I34" s="96"/>
      <c r="J34" s="97"/>
      <c r="K34" s="96"/>
      <c r="L34" s="97"/>
      <c r="M34" s="96"/>
      <c r="N34" s="97"/>
      <c r="Q34" s="17">
        <f>C34*100%</f>
        <v>91970.6</v>
      </c>
      <c r="R34" s="18">
        <f>Q34/C34</f>
        <v>1</v>
      </c>
      <c r="U34" s="96"/>
      <c r="V34" s="97"/>
      <c r="W34" s="96"/>
      <c r="X34" s="97"/>
    </row>
    <row r="35" spans="1:24" x14ac:dyDescent="0.25">
      <c r="A35" s="3" t="str">
        <f>RESUMO!A40</f>
        <v>25.0</v>
      </c>
      <c r="B35" s="4" t="str">
        <f>RESUMO!B40</f>
        <v>REVESTIMENTO</v>
      </c>
      <c r="C35" s="15">
        <f>RESUMO!D40</f>
        <v>71021.009999999995</v>
      </c>
      <c r="D35" s="16">
        <f t="shared" si="1"/>
        <v>8.4124171025651041E-3</v>
      </c>
      <c r="E35" s="96"/>
      <c r="F35" s="97"/>
      <c r="G35" s="96"/>
      <c r="H35" s="97"/>
      <c r="I35" s="96"/>
      <c r="J35" s="97"/>
      <c r="K35" s="96"/>
      <c r="L35" s="97"/>
      <c r="M35" s="96"/>
      <c r="N35" s="97"/>
      <c r="O35" s="96"/>
      <c r="P35" s="97"/>
      <c r="Q35" s="96"/>
      <c r="R35" s="97"/>
      <c r="S35" s="17">
        <f>C35*100%</f>
        <v>71021.009999999995</v>
      </c>
      <c r="T35" s="18">
        <f>S35/C35</f>
        <v>1</v>
      </c>
      <c r="U35" s="96"/>
      <c r="V35" s="97"/>
      <c r="W35" s="96"/>
      <c r="X35" s="97"/>
    </row>
    <row r="36" spans="1:24" x14ac:dyDescent="0.25">
      <c r="A36" s="3" t="str">
        <f>RESUMO!A41</f>
        <v>26.0</v>
      </c>
      <c r="B36" s="4" t="str">
        <f>RESUMO!B41</f>
        <v>PISOS</v>
      </c>
      <c r="C36" s="15">
        <f>RESUMO!D41</f>
        <v>41312.14</v>
      </c>
      <c r="D36" s="16">
        <f t="shared" si="1"/>
        <v>4.8934104581104098E-3</v>
      </c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96"/>
      <c r="P36" s="97"/>
      <c r="Q36" s="96"/>
      <c r="R36" s="97"/>
      <c r="S36" s="17">
        <f>C36*100%</f>
        <v>41312.14</v>
      </c>
      <c r="T36" s="18">
        <f>S36/C36</f>
        <v>1</v>
      </c>
      <c r="U36" s="96"/>
      <c r="V36" s="97"/>
      <c r="W36" s="96"/>
      <c r="X36" s="97"/>
    </row>
    <row r="37" spans="1:24" x14ac:dyDescent="0.25">
      <c r="A37" s="3" t="str">
        <f>RESUMO!A42</f>
        <v>27.0</v>
      </c>
      <c r="B37" s="4" t="str">
        <f>RESUMO!B42</f>
        <v>ESQUADRIAS</v>
      </c>
      <c r="C37" s="15">
        <f>RESUMO!D42</f>
        <v>29516.210000000003</v>
      </c>
      <c r="D37" s="16">
        <f t="shared" si="1"/>
        <v>3.4961861258647718E-3</v>
      </c>
      <c r="E37" s="96"/>
      <c r="F37" s="97"/>
      <c r="G37" s="96"/>
      <c r="H37" s="97"/>
      <c r="I37" s="96"/>
      <c r="J37" s="97"/>
      <c r="K37" s="96"/>
      <c r="L37" s="97"/>
      <c r="M37" s="96"/>
      <c r="N37" s="97"/>
      <c r="O37" s="96"/>
      <c r="P37" s="97"/>
      <c r="Q37" s="17">
        <f>C37*100%</f>
        <v>29516.210000000003</v>
      </c>
      <c r="R37" s="18">
        <f>Q37/C37</f>
        <v>1</v>
      </c>
      <c r="S37" s="96"/>
      <c r="T37" s="97"/>
      <c r="U37" s="96"/>
      <c r="V37" s="97"/>
      <c r="W37" s="96"/>
      <c r="X37" s="97"/>
    </row>
    <row r="38" spans="1:24" x14ac:dyDescent="0.25">
      <c r="A38" s="3" t="str">
        <f>RESUMO!A43</f>
        <v>28.0</v>
      </c>
      <c r="B38" s="4" t="str">
        <f>RESUMO!B43</f>
        <v>PINTURA INTERNA E EXTERNA</v>
      </c>
      <c r="C38" s="15">
        <f>RESUMO!D43</f>
        <v>15689.699999999999</v>
      </c>
      <c r="D38" s="16">
        <f t="shared" si="1"/>
        <v>1.8584402082442325E-3</v>
      </c>
      <c r="E38" s="96"/>
      <c r="F38" s="97"/>
      <c r="G38" s="96"/>
      <c r="H38" s="97"/>
      <c r="I38" s="96"/>
      <c r="J38" s="97"/>
      <c r="K38" s="96"/>
      <c r="L38" s="97"/>
      <c r="M38" s="96"/>
      <c r="N38" s="97"/>
      <c r="O38" s="96"/>
      <c r="P38" s="97"/>
      <c r="Q38" s="96"/>
      <c r="R38" s="97"/>
      <c r="S38" s="17">
        <f>C38*100%</f>
        <v>15689.699999999999</v>
      </c>
      <c r="T38" s="18">
        <f>S38/C38</f>
        <v>1</v>
      </c>
      <c r="U38" s="96"/>
      <c r="V38" s="97"/>
      <c r="W38" s="96"/>
      <c r="X38" s="97"/>
    </row>
    <row r="39" spans="1:24" x14ac:dyDescent="0.25">
      <c r="A39" s="3" t="str">
        <f>RESUMO!A44</f>
        <v>29.0</v>
      </c>
      <c r="B39" s="4" t="str">
        <f>RESUMO!B44</f>
        <v>SERVIÇOS COMPLEMENTARES</v>
      </c>
      <c r="C39" s="15">
        <f>RESUMO!D44</f>
        <v>22315.34</v>
      </c>
      <c r="D39" s="16">
        <f t="shared" si="1"/>
        <v>2.6432452575027472E-3</v>
      </c>
      <c r="E39" s="96"/>
      <c r="F39" s="97"/>
      <c r="G39" s="96"/>
      <c r="H39" s="97"/>
      <c r="I39" s="96"/>
      <c r="J39" s="97"/>
      <c r="K39" s="96"/>
      <c r="L39" s="97"/>
      <c r="M39" s="96"/>
      <c r="N39" s="97"/>
      <c r="O39" s="96"/>
      <c r="P39" s="97"/>
      <c r="Q39" s="96"/>
      <c r="R39" s="97"/>
      <c r="S39" s="96"/>
      <c r="T39" s="97"/>
      <c r="U39" s="17">
        <f>C39*100%</f>
        <v>22315.34</v>
      </c>
      <c r="V39" s="18">
        <f>U39/C39</f>
        <v>1</v>
      </c>
      <c r="W39" s="96"/>
      <c r="X39" s="97"/>
    </row>
    <row r="40" spans="1:24" x14ac:dyDescent="0.25">
      <c r="A40" s="3" t="str">
        <f>RESUMO!A45</f>
        <v>30.0</v>
      </c>
      <c r="B40" s="4" t="str">
        <f>RESUMO!B45</f>
        <v>LIMPEZA</v>
      </c>
      <c r="C40" s="15">
        <f>RESUMO!D45</f>
        <v>1002.38</v>
      </c>
      <c r="D40" s="16">
        <f t="shared" si="1"/>
        <v>1.1873160710146491E-4</v>
      </c>
      <c r="E40" s="96"/>
      <c r="F40" s="97"/>
      <c r="G40" s="96"/>
      <c r="H40" s="97"/>
      <c r="I40" s="96"/>
      <c r="J40" s="97"/>
      <c r="K40" s="96"/>
      <c r="L40" s="97"/>
      <c r="M40" s="96"/>
      <c r="N40" s="97"/>
      <c r="O40" s="96"/>
      <c r="P40" s="97"/>
      <c r="Q40" s="96"/>
      <c r="R40" s="97"/>
      <c r="S40" s="96"/>
      <c r="T40" s="97"/>
      <c r="U40" s="17">
        <f>C40*100%</f>
        <v>1002.38</v>
      </c>
      <c r="V40" s="18">
        <f>U40/C40</f>
        <v>1</v>
      </c>
      <c r="W40" s="96"/>
      <c r="X40" s="97"/>
    </row>
    <row r="41" spans="1:24" x14ac:dyDescent="0.25">
      <c r="A41" s="702" t="str">
        <f>RESUMO!A47</f>
        <v>QUADRA E VESTIÁRIOS</v>
      </c>
      <c r="B41" s="702"/>
      <c r="C41" s="702"/>
      <c r="D41" s="702"/>
      <c r="E41" s="101"/>
      <c r="F41" s="102"/>
      <c r="G41" s="101"/>
      <c r="H41" s="102"/>
      <c r="I41" s="101"/>
      <c r="J41" s="102"/>
      <c r="K41" s="101"/>
      <c r="L41" s="102"/>
      <c r="M41" s="101"/>
      <c r="N41" s="102"/>
      <c r="O41" s="101"/>
      <c r="P41" s="102"/>
      <c r="Q41" s="101"/>
      <c r="R41" s="102"/>
      <c r="S41" s="101"/>
      <c r="T41" s="102"/>
      <c r="U41" s="101"/>
      <c r="V41" s="102"/>
      <c r="W41" s="101"/>
      <c r="X41" s="102"/>
    </row>
    <row r="42" spans="1:24" x14ac:dyDescent="0.25">
      <c r="A42" s="3" t="str">
        <f>RESUMO!A48</f>
        <v>31.0</v>
      </c>
      <c r="B42" s="4" t="str">
        <f>RESUMO!B48</f>
        <v>MOVIMENTAÇÃO DE TERRA (PLATÔ)</v>
      </c>
      <c r="C42" s="15">
        <f>RESUMO!D48</f>
        <v>25559.11</v>
      </c>
      <c r="D42" s="16">
        <f t="shared" ref="D42:D56" si="2">C42/$C$88</f>
        <v>3.027468830566375E-3</v>
      </c>
      <c r="E42" s="17">
        <f>C42*50%</f>
        <v>12779.555</v>
      </c>
      <c r="F42" s="18">
        <f>E42/$C$12</f>
        <v>0.32949361925506065</v>
      </c>
      <c r="G42" s="17">
        <f>C42*50%</f>
        <v>12779.555</v>
      </c>
      <c r="H42" s="18">
        <f>G42/$C$12</f>
        <v>0.32949361925506065</v>
      </c>
      <c r="I42" s="96"/>
      <c r="J42" s="97"/>
      <c r="K42" s="96"/>
      <c r="L42" s="97"/>
      <c r="M42" s="96"/>
      <c r="N42" s="97"/>
      <c r="O42" s="96"/>
      <c r="P42" s="97"/>
      <c r="Q42" s="96"/>
      <c r="R42" s="97"/>
      <c r="S42" s="96"/>
      <c r="T42" s="97"/>
      <c r="U42" s="96"/>
      <c r="V42" s="97"/>
      <c r="W42" s="96"/>
      <c r="X42" s="97"/>
    </row>
    <row r="43" spans="1:24" x14ac:dyDescent="0.25">
      <c r="A43" s="3" t="str">
        <f>RESUMO!A49</f>
        <v>32.0</v>
      </c>
      <c r="B43" s="4" t="str">
        <f>RESUMO!B49</f>
        <v>FUNDAÇÃO</v>
      </c>
      <c r="C43" s="15">
        <f>RESUMO!D49</f>
        <v>161446.29999999999</v>
      </c>
      <c r="D43" s="16">
        <f t="shared" si="2"/>
        <v>1.9123265288199319E-2</v>
      </c>
      <c r="G43" s="17">
        <f>C43*50%</f>
        <v>80723.149999999994</v>
      </c>
      <c r="H43" s="18">
        <f>G43/C43</f>
        <v>0.5</v>
      </c>
      <c r="I43" s="17">
        <f>C43*50%</f>
        <v>80723.149999999994</v>
      </c>
      <c r="J43" s="18">
        <f>I43/C43</f>
        <v>0.5</v>
      </c>
      <c r="K43" s="96"/>
      <c r="L43" s="97"/>
      <c r="O43" s="96"/>
      <c r="P43" s="97"/>
      <c r="Q43" s="96"/>
      <c r="R43" s="97"/>
      <c r="S43" s="96"/>
      <c r="T43" s="97"/>
      <c r="U43" s="96"/>
      <c r="V43" s="97"/>
      <c r="W43" s="96"/>
      <c r="X43" s="97"/>
    </row>
    <row r="44" spans="1:24" x14ac:dyDescent="0.25">
      <c r="A44" s="3" t="str">
        <f>RESUMO!A50</f>
        <v>33.0</v>
      </c>
      <c r="B44" s="4" t="str">
        <f>RESUMO!B50</f>
        <v>MESO ESTRUTURA</v>
      </c>
      <c r="C44" s="15">
        <f>RESUMO!D50</f>
        <v>131260.43999999997</v>
      </c>
      <c r="D44" s="16">
        <f t="shared" si="2"/>
        <v>1.5547759322857005E-2</v>
      </c>
      <c r="E44" s="96"/>
      <c r="F44" s="97"/>
      <c r="I44" s="17">
        <f>C44*50%</f>
        <v>65630.219999999987</v>
      </c>
      <c r="J44" s="18">
        <f>I44/C44</f>
        <v>0.5</v>
      </c>
      <c r="K44" s="17">
        <f>C44*50%</f>
        <v>65630.219999999987</v>
      </c>
      <c r="L44" s="18">
        <f>K44/C44</f>
        <v>0.5</v>
      </c>
      <c r="M44" s="96"/>
      <c r="N44" s="97"/>
      <c r="O44" s="96"/>
      <c r="P44" s="97"/>
      <c r="Q44" s="96"/>
      <c r="R44" s="97"/>
      <c r="S44" s="96"/>
      <c r="T44" s="97"/>
      <c r="U44" s="96"/>
      <c r="V44" s="97"/>
      <c r="W44" s="96"/>
      <c r="X44" s="97"/>
    </row>
    <row r="45" spans="1:24" x14ac:dyDescent="0.25">
      <c r="A45" s="3" t="str">
        <f>RESUMO!A51</f>
        <v>34.0</v>
      </c>
      <c r="B45" s="4" t="str">
        <f>RESUMO!B51</f>
        <v>SUPER ESTRUTURA</v>
      </c>
      <c r="C45" s="15">
        <f>RESUMO!D51</f>
        <v>147704.63999999998</v>
      </c>
      <c r="D45" s="16">
        <f t="shared" si="2"/>
        <v>1.7495569827354212E-2</v>
      </c>
      <c r="I45" s="17">
        <f>C45*15%</f>
        <v>22155.695999999996</v>
      </c>
      <c r="J45" s="18">
        <f>I45/C45</f>
        <v>0.15</v>
      </c>
      <c r="K45" s="17">
        <f>C45*50%</f>
        <v>73852.319999999992</v>
      </c>
      <c r="L45" s="18">
        <f>K45/C45</f>
        <v>0.5</v>
      </c>
      <c r="M45" s="17">
        <f>C45*35%</f>
        <v>51696.623999999989</v>
      </c>
      <c r="N45" s="18">
        <f>M45/C45</f>
        <v>0.35</v>
      </c>
      <c r="O45" s="96"/>
      <c r="P45" s="97"/>
      <c r="Q45" s="96"/>
      <c r="R45" s="97"/>
      <c r="S45" s="96"/>
      <c r="T45" s="97"/>
      <c r="U45" s="96"/>
      <c r="V45" s="97"/>
      <c r="W45" s="96"/>
      <c r="X45" s="97"/>
    </row>
    <row r="46" spans="1:24" x14ac:dyDescent="0.25">
      <c r="A46" s="3" t="str">
        <f>RESUMO!A52</f>
        <v>35.0</v>
      </c>
      <c r="B46" s="4" t="str">
        <f>RESUMO!B52</f>
        <v>CONTRAPISO ARMADO</v>
      </c>
      <c r="C46" s="15">
        <f>RESUMO!D52</f>
        <v>102713.15</v>
      </c>
      <c r="D46" s="16">
        <f t="shared" si="2"/>
        <v>1.2166341477238003E-2</v>
      </c>
      <c r="I46" s="96"/>
      <c r="J46" s="97"/>
      <c r="K46" s="96"/>
      <c r="L46" s="97"/>
      <c r="M46" s="17">
        <f>C46*50%</f>
        <v>51356.574999999997</v>
      </c>
      <c r="N46" s="18">
        <f>M46/C46</f>
        <v>0.5</v>
      </c>
      <c r="O46" s="17">
        <f>C46*50%</f>
        <v>51356.574999999997</v>
      </c>
      <c r="P46" s="18">
        <f>O46/C46</f>
        <v>0.5</v>
      </c>
      <c r="Q46" s="96"/>
      <c r="R46" s="97"/>
      <c r="S46" s="96"/>
      <c r="T46" s="97"/>
      <c r="U46" s="96"/>
      <c r="V46" s="97"/>
      <c r="W46" s="96"/>
      <c r="X46" s="97"/>
    </row>
    <row r="47" spans="1:24" x14ac:dyDescent="0.25">
      <c r="A47" s="3" t="s">
        <v>174</v>
      </c>
      <c r="B47" s="4" t="str">
        <f>RESUMO!B53</f>
        <v>ELEMENTOS DE VEDAÇÃO</v>
      </c>
      <c r="C47" s="15">
        <f>RESUMO!D53</f>
        <v>175565.04</v>
      </c>
      <c r="D47" s="16">
        <f t="shared" si="2"/>
        <v>2.0795625760722452E-2</v>
      </c>
      <c r="E47" s="96"/>
      <c r="F47" s="97"/>
      <c r="G47" s="96"/>
      <c r="H47" s="97"/>
      <c r="K47" s="17">
        <f>C47*10%</f>
        <v>17556.504000000001</v>
      </c>
      <c r="L47" s="18">
        <f>K47/C47</f>
        <v>0.1</v>
      </c>
      <c r="M47" s="17">
        <f>C47*70%</f>
        <v>122895.52799999999</v>
      </c>
      <c r="N47" s="18">
        <f>M47/C47</f>
        <v>0.7</v>
      </c>
      <c r="O47" s="17">
        <f>C47*20%</f>
        <v>35113.008000000002</v>
      </c>
      <c r="P47" s="18">
        <f>O47/C47</f>
        <v>0.2</v>
      </c>
      <c r="Q47" s="96"/>
      <c r="R47" s="97"/>
      <c r="S47" s="96"/>
      <c r="T47" s="97"/>
      <c r="U47" s="96"/>
      <c r="V47" s="97"/>
      <c r="W47" s="96"/>
      <c r="X47" s="97"/>
    </row>
    <row r="48" spans="1:24" s="291" customFormat="1" x14ac:dyDescent="0.25">
      <c r="A48" s="290" t="s">
        <v>175</v>
      </c>
      <c r="B48" s="291" t="str">
        <f>RESUMO!B54</f>
        <v>ESQUADRIAS</v>
      </c>
      <c r="C48" s="388">
        <f>RESUMO!D54</f>
        <v>21237.21</v>
      </c>
      <c r="D48" s="389">
        <f t="shared" ref="D48" si="3">C48/$C$88</f>
        <v>2.5155410858669382E-3</v>
      </c>
      <c r="E48" s="126"/>
      <c r="F48" s="127"/>
      <c r="G48" s="126"/>
      <c r="H48" s="127"/>
      <c r="I48" s="126"/>
      <c r="J48" s="127"/>
      <c r="K48" s="126"/>
      <c r="L48" s="127"/>
      <c r="Q48" s="17">
        <f>C48*70%</f>
        <v>14866.046999999999</v>
      </c>
      <c r="R48" s="18">
        <f>Q48/C48</f>
        <v>0.7</v>
      </c>
      <c r="S48" s="17">
        <f>C48*30%</f>
        <v>6371.1629999999996</v>
      </c>
      <c r="T48" s="18">
        <f>S48/C48</f>
        <v>0.3</v>
      </c>
      <c r="U48" s="126"/>
      <c r="V48" s="127"/>
      <c r="W48" s="126"/>
      <c r="X48" s="127"/>
    </row>
    <row r="49" spans="1:24" x14ac:dyDescent="0.25">
      <c r="A49" s="3" t="s">
        <v>176</v>
      </c>
      <c r="B49" s="4" t="str">
        <f>RESUMO!B55</f>
        <v>COBERTURA</v>
      </c>
      <c r="C49" s="15">
        <f>RESUMO!D55</f>
        <v>625583.03000000014</v>
      </c>
      <c r="D49" s="16">
        <f t="shared" si="2"/>
        <v>7.4100120241130066E-2</v>
      </c>
      <c r="E49" s="96"/>
      <c r="F49" s="97"/>
      <c r="G49" s="96"/>
      <c r="H49" s="97"/>
      <c r="I49" s="96"/>
      <c r="J49" s="97"/>
      <c r="K49" s="96"/>
      <c r="L49" s="97"/>
      <c r="Q49" s="17">
        <f>C49*70%</f>
        <v>437908.1210000001</v>
      </c>
      <c r="R49" s="18">
        <f>Q49/C49</f>
        <v>0.7</v>
      </c>
      <c r="S49" s="17">
        <f>C49*30%</f>
        <v>187674.90900000004</v>
      </c>
      <c r="T49" s="18">
        <f>S49/C49</f>
        <v>0.3</v>
      </c>
      <c r="U49" s="96"/>
      <c r="V49" s="97"/>
      <c r="W49" s="96"/>
      <c r="X49" s="97"/>
    </row>
    <row r="50" spans="1:24" x14ac:dyDescent="0.25">
      <c r="A50" s="3" t="s">
        <v>177</v>
      </c>
      <c r="B50" s="4" t="str">
        <f>RESUMO!B56</f>
        <v>REVESTIMENTO</v>
      </c>
      <c r="C50" s="15">
        <f>RESUMO!D56</f>
        <v>180573.85</v>
      </c>
      <c r="D50" s="16">
        <f t="shared" si="2"/>
        <v>2.1388917786666593E-2</v>
      </c>
      <c r="E50" s="96"/>
      <c r="F50" s="97"/>
      <c r="G50" s="96"/>
      <c r="H50" s="97"/>
      <c r="I50" s="96"/>
      <c r="J50" s="97"/>
      <c r="K50" s="96"/>
      <c r="L50" s="97"/>
      <c r="M50" s="96"/>
      <c r="N50" s="97"/>
      <c r="O50" s="96"/>
      <c r="P50" s="97"/>
      <c r="S50" s="17">
        <f>C50*60%</f>
        <v>108344.31</v>
      </c>
      <c r="T50" s="18">
        <f>S50/C50</f>
        <v>0.6</v>
      </c>
      <c r="U50" s="17">
        <f>C50*40%</f>
        <v>72229.540000000008</v>
      </c>
      <c r="V50" s="18">
        <f>U50/C50</f>
        <v>0.4</v>
      </c>
      <c r="W50" s="96"/>
      <c r="X50" s="97"/>
    </row>
    <row r="51" spans="1:24" s="291" customFormat="1" x14ac:dyDescent="0.25">
      <c r="A51" s="290" t="s">
        <v>178</v>
      </c>
      <c r="B51" s="291" t="str">
        <f>RESUMO!B57</f>
        <v>PISOS</v>
      </c>
      <c r="C51" s="388">
        <f>RESUMO!D57</f>
        <v>21742.129999999997</v>
      </c>
      <c r="D51" s="389">
        <f t="shared" ref="D51" si="4">C51/$C$88</f>
        <v>2.5753487067868203E-3</v>
      </c>
      <c r="E51" s="126"/>
      <c r="F51" s="127"/>
      <c r="G51" s="126"/>
      <c r="H51" s="127"/>
      <c r="I51" s="126"/>
      <c r="J51" s="127"/>
      <c r="K51" s="126"/>
      <c r="L51" s="127"/>
      <c r="M51" s="126"/>
      <c r="N51" s="127"/>
      <c r="Q51" s="17">
        <f>C51*100%</f>
        <v>21742.129999999997</v>
      </c>
      <c r="R51" s="18">
        <f>Q51/C51</f>
        <v>1</v>
      </c>
      <c r="S51" s="126"/>
      <c r="T51" s="127"/>
      <c r="U51" s="126"/>
      <c r="V51" s="127"/>
      <c r="W51" s="126"/>
      <c r="X51" s="127"/>
    </row>
    <row r="52" spans="1:24" x14ac:dyDescent="0.25">
      <c r="A52" s="3" t="s">
        <v>365</v>
      </c>
      <c r="B52" s="4" t="str">
        <f>RESUMO!B58</f>
        <v>ARQUIBANCADA</v>
      </c>
      <c r="C52" s="15">
        <f>RESUMO!D58</f>
        <v>48811.429999999993</v>
      </c>
      <c r="D52" s="16">
        <f t="shared" si="2"/>
        <v>5.7816990849983603E-3</v>
      </c>
      <c r="E52" s="96"/>
      <c r="F52" s="97"/>
      <c r="G52" s="96"/>
      <c r="H52" s="97"/>
      <c r="I52" s="96"/>
      <c r="J52" s="97"/>
      <c r="K52" s="96"/>
      <c r="L52" s="97"/>
      <c r="M52" s="96"/>
      <c r="N52" s="97"/>
      <c r="Q52" s="17">
        <f>C52*100%</f>
        <v>48811.429999999993</v>
      </c>
      <c r="R52" s="18">
        <f>Q52/C52</f>
        <v>1</v>
      </c>
      <c r="S52" s="96"/>
      <c r="T52" s="97"/>
      <c r="U52" s="96"/>
      <c r="V52" s="97"/>
      <c r="W52" s="96"/>
      <c r="X52" s="97"/>
    </row>
    <row r="53" spans="1:24" x14ac:dyDescent="0.25">
      <c r="A53" s="3" t="s">
        <v>369</v>
      </c>
      <c r="B53" s="4" t="str">
        <f>RESUMO!B59</f>
        <v>PINTURA</v>
      </c>
      <c r="C53" s="15">
        <f>RESUMO!D59</f>
        <v>149722.39000000001</v>
      </c>
      <c r="D53" s="16">
        <f t="shared" si="2"/>
        <v>1.7734571703118877E-2</v>
      </c>
      <c r="E53" s="96"/>
      <c r="F53" s="97"/>
      <c r="G53" s="96"/>
      <c r="H53" s="97"/>
      <c r="I53" s="96"/>
      <c r="J53" s="97"/>
      <c r="K53" s="96"/>
      <c r="L53" s="97"/>
      <c r="M53" s="96"/>
      <c r="N53" s="97"/>
      <c r="O53" s="96"/>
      <c r="P53" s="97"/>
      <c r="Q53" s="96"/>
      <c r="R53" s="97"/>
      <c r="S53" s="96"/>
      <c r="T53" s="97"/>
      <c r="U53" s="17">
        <f>C53*100%</f>
        <v>149722.39000000001</v>
      </c>
      <c r="V53" s="18">
        <f>U53/C53</f>
        <v>1</v>
      </c>
      <c r="W53" s="96"/>
      <c r="X53" s="97"/>
    </row>
    <row r="54" spans="1:24" s="291" customFormat="1" x14ac:dyDescent="0.25">
      <c r="A54" s="290" t="s">
        <v>371</v>
      </c>
      <c r="B54" s="291" t="str">
        <f>RESUMO!B60</f>
        <v>FORROS E DIVISÓRIAS</v>
      </c>
      <c r="C54" s="388">
        <f>RESUMO!D60</f>
        <v>16037.619999999999</v>
      </c>
      <c r="D54" s="389">
        <f t="shared" ref="D54" si="5">C54/$C$88</f>
        <v>1.8996512267628997E-3</v>
      </c>
      <c r="E54" s="126"/>
      <c r="F54" s="127"/>
      <c r="G54" s="126"/>
      <c r="H54" s="127"/>
      <c r="I54" s="126"/>
      <c r="J54" s="127"/>
      <c r="K54" s="126"/>
      <c r="L54" s="127"/>
      <c r="M54" s="126"/>
      <c r="N54" s="127"/>
      <c r="O54" s="126"/>
      <c r="P54" s="127"/>
      <c r="Q54" s="126"/>
      <c r="R54" s="127"/>
      <c r="S54" s="17">
        <f>C54*100%</f>
        <v>16037.619999999999</v>
      </c>
      <c r="T54" s="18">
        <f>S54/C54</f>
        <v>1</v>
      </c>
      <c r="U54" s="126"/>
      <c r="V54" s="127"/>
      <c r="W54" s="126"/>
      <c r="X54" s="127"/>
    </row>
    <row r="55" spans="1:24" x14ac:dyDescent="0.25">
      <c r="A55" s="3" t="s">
        <v>373</v>
      </c>
      <c r="B55" s="4" t="str">
        <f>RESUMO!B61</f>
        <v>SERVIÇOS COMPLEMENTARES</v>
      </c>
      <c r="C55" s="15">
        <f>RESUMO!D61</f>
        <v>48974.920000000006</v>
      </c>
      <c r="D55" s="16">
        <f t="shared" si="2"/>
        <v>5.801064425931958E-3</v>
      </c>
      <c r="E55" s="96"/>
      <c r="F55" s="97"/>
      <c r="G55" s="96"/>
      <c r="H55" s="97"/>
      <c r="I55" s="96"/>
      <c r="J55" s="97"/>
      <c r="K55" s="96"/>
      <c r="L55" s="97"/>
      <c r="M55" s="96"/>
      <c r="N55" s="97"/>
      <c r="O55" s="96"/>
      <c r="P55" s="97"/>
      <c r="Q55" s="96"/>
      <c r="R55" s="97"/>
      <c r="S55" s="96"/>
      <c r="T55" s="97"/>
      <c r="U55" s="96"/>
      <c r="V55" s="97"/>
      <c r="W55" s="17">
        <f>C55*100%</f>
        <v>48974.920000000006</v>
      </c>
      <c r="X55" s="18">
        <f>W55/C55</f>
        <v>1</v>
      </c>
    </row>
    <row r="56" spans="1:24" x14ac:dyDescent="0.25">
      <c r="A56" s="3" t="s">
        <v>376</v>
      </c>
      <c r="B56" s="4" t="str">
        <f>RESUMO!B62</f>
        <v>LIMPEZA</v>
      </c>
      <c r="C56" s="15">
        <f>RESUMO!D62</f>
        <v>4150.28</v>
      </c>
      <c r="D56" s="16">
        <f t="shared" si="2"/>
        <v>4.9159940773066879E-4</v>
      </c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6"/>
      <c r="R56" s="97"/>
      <c r="S56" s="96"/>
      <c r="T56" s="97"/>
      <c r="U56" s="96"/>
      <c r="V56" s="97"/>
      <c r="W56" s="17">
        <f>C56*100%</f>
        <v>4150.28</v>
      </c>
      <c r="X56" s="18">
        <f>W56/C56</f>
        <v>1</v>
      </c>
    </row>
    <row r="57" spans="1:24" ht="12.75" customHeight="1" x14ac:dyDescent="0.25">
      <c r="A57" s="702" t="str">
        <f>RESUMO!A64</f>
        <v>ÁREA EXTERNA</v>
      </c>
      <c r="B57" s="702"/>
      <c r="C57" s="702"/>
      <c r="D57" s="702"/>
      <c r="E57" s="101"/>
      <c r="F57" s="102"/>
      <c r="G57" s="101"/>
      <c r="H57" s="102"/>
      <c r="I57" s="101"/>
      <c r="J57" s="102"/>
      <c r="K57" s="101"/>
      <c r="L57" s="102"/>
      <c r="M57" s="101"/>
      <c r="N57" s="102"/>
      <c r="O57" s="101"/>
      <c r="P57" s="102"/>
      <c r="Q57" s="101"/>
      <c r="R57" s="102"/>
      <c r="S57" s="101"/>
      <c r="T57" s="102"/>
      <c r="U57" s="101"/>
      <c r="V57" s="102"/>
      <c r="W57" s="101"/>
      <c r="X57" s="102"/>
    </row>
    <row r="58" spans="1:24" x14ac:dyDescent="0.25">
      <c r="A58" s="3" t="str">
        <f>RESUMO!A65</f>
        <v>46.0</v>
      </c>
      <c r="B58" s="4" t="str">
        <f>RESUMO!B65</f>
        <v>URBANIZAÇÃO E PAISAGISMO</v>
      </c>
      <c r="C58" s="15">
        <f>RESUMO!D65</f>
        <v>54691.420000000006</v>
      </c>
      <c r="D58" s="16">
        <f t="shared" ref="D58:D61" si="6">C58/$C$88</f>
        <v>6.4781821178207868E-3</v>
      </c>
      <c r="E58" s="96"/>
      <c r="F58" s="97"/>
      <c r="G58" s="96"/>
      <c r="H58" s="97"/>
      <c r="I58" s="96"/>
      <c r="J58" s="97"/>
      <c r="K58" s="96"/>
      <c r="L58" s="97"/>
      <c r="M58" s="96"/>
      <c r="N58" s="97"/>
      <c r="O58" s="96"/>
      <c r="P58" s="97"/>
      <c r="Q58" s="96"/>
      <c r="R58" s="97"/>
      <c r="S58" s="96"/>
      <c r="T58" s="97"/>
      <c r="U58" s="96"/>
      <c r="V58" s="97"/>
      <c r="W58" s="17">
        <f>C58*100%</f>
        <v>54691.420000000006</v>
      </c>
      <c r="X58" s="18">
        <f>W58/C58</f>
        <v>1</v>
      </c>
    </row>
    <row r="59" spans="1:24" x14ac:dyDescent="0.25">
      <c r="A59" s="3" t="str">
        <f>RESUMO!A66</f>
        <v>47.0</v>
      </c>
      <c r="B59" s="4" t="str">
        <f>RESUMO!B66</f>
        <v>PERGOLADOS METÁLICOS</v>
      </c>
      <c r="C59" s="15">
        <f>RESUMO!D66</f>
        <v>49304.59</v>
      </c>
      <c r="D59" s="16">
        <f t="shared" si="6"/>
        <v>5.8401137374836038E-3</v>
      </c>
      <c r="E59" s="96"/>
      <c r="F59" s="97"/>
      <c r="G59" s="96"/>
      <c r="H59" s="97"/>
      <c r="I59" s="96"/>
      <c r="J59" s="97"/>
      <c r="K59" s="96"/>
      <c r="L59" s="97"/>
      <c r="M59" s="96"/>
      <c r="N59" s="97"/>
      <c r="O59" s="96"/>
      <c r="P59" s="97"/>
      <c r="Q59" s="96"/>
      <c r="R59" s="97"/>
      <c r="S59" s="17">
        <f>C59*100%</f>
        <v>49304.59</v>
      </c>
      <c r="T59" s="18">
        <f>S59/C59</f>
        <v>1</v>
      </c>
      <c r="W59" s="96"/>
      <c r="X59" s="97"/>
    </row>
    <row r="60" spans="1:24" ht="25.5" x14ac:dyDescent="0.25">
      <c r="A60" s="3" t="str">
        <f>RESUMO!A67</f>
        <v>48.0</v>
      </c>
      <c r="B60" s="4" t="str">
        <f>RESUMO!B67</f>
        <v>MUROS, CERCAS, FECHAMENTOS E CALÇADAS DE ÁREAS DE CONVIVENCIA</v>
      </c>
      <c r="C60" s="15">
        <f>RESUMO!D67</f>
        <v>745964.44000000006</v>
      </c>
      <c r="D60" s="16">
        <f t="shared" si="6"/>
        <v>8.8359261758758453E-2</v>
      </c>
      <c r="E60" s="96"/>
      <c r="F60" s="97"/>
      <c r="G60" s="96"/>
      <c r="H60" s="97"/>
      <c r="I60" s="96"/>
      <c r="J60" s="97"/>
      <c r="K60" s="96"/>
      <c r="L60" s="97"/>
      <c r="M60" s="96"/>
      <c r="N60" s="97"/>
      <c r="O60" s="96"/>
      <c r="P60" s="97"/>
      <c r="Q60" s="96"/>
      <c r="R60" s="97"/>
      <c r="S60" s="96"/>
      <c r="T60" s="97"/>
      <c r="U60" s="17">
        <f>C60*50%</f>
        <v>372982.22000000003</v>
      </c>
      <c r="V60" s="18">
        <f>U60/C60</f>
        <v>0.5</v>
      </c>
      <c r="W60" s="17">
        <f>C60*50%</f>
        <v>372982.22000000003</v>
      </c>
      <c r="X60" s="18">
        <f>W60/C60</f>
        <v>0.5</v>
      </c>
    </row>
    <row r="61" spans="1:24" x14ac:dyDescent="0.25">
      <c r="A61" s="3" t="str">
        <f>RESUMO!A68</f>
        <v>49.0</v>
      </c>
      <c r="B61" s="4" t="str">
        <f>RESUMO!B68</f>
        <v>ITENS COMPLEMENTARES</v>
      </c>
      <c r="C61" s="15">
        <f>RESUMO!D68</f>
        <v>4181.13</v>
      </c>
      <c r="D61" s="16">
        <f t="shared" si="6"/>
        <v>4.9525358087765909E-4</v>
      </c>
      <c r="E61" s="96"/>
      <c r="F61" s="97"/>
      <c r="G61" s="96"/>
      <c r="H61" s="97"/>
      <c r="I61" s="96"/>
      <c r="J61" s="97"/>
      <c r="K61" s="96"/>
      <c r="L61" s="97"/>
      <c r="M61" s="96"/>
      <c r="N61" s="97"/>
      <c r="O61" s="96"/>
      <c r="P61" s="97"/>
      <c r="Q61" s="96"/>
      <c r="R61" s="97"/>
      <c r="S61" s="96"/>
      <c r="T61" s="97"/>
      <c r="U61" s="96"/>
      <c r="V61" s="97"/>
      <c r="W61" s="17">
        <f>C61*100%</f>
        <v>4181.13</v>
      </c>
      <c r="X61" s="18">
        <f>W61/C61</f>
        <v>1</v>
      </c>
    </row>
    <row r="62" spans="1:24" x14ac:dyDescent="0.25">
      <c r="A62" s="702" t="str">
        <f>RESUMO!A70</f>
        <v>INSTALAÇÕES HIDROSSANITARIAS</v>
      </c>
      <c r="B62" s="702"/>
      <c r="C62" s="702"/>
      <c r="D62" s="702"/>
      <c r="E62" s="101"/>
      <c r="F62" s="102"/>
      <c r="G62" s="101"/>
      <c r="H62" s="102"/>
      <c r="I62" s="101"/>
      <c r="J62" s="102"/>
      <c r="K62" s="101"/>
      <c r="L62" s="102"/>
      <c r="M62" s="101"/>
      <c r="N62" s="102"/>
      <c r="O62" s="101"/>
      <c r="P62" s="102"/>
      <c r="Q62" s="101"/>
      <c r="R62" s="102"/>
      <c r="S62" s="101"/>
      <c r="T62" s="102"/>
      <c r="U62" s="167"/>
      <c r="V62" s="168"/>
      <c r="W62" s="101"/>
      <c r="X62" s="102"/>
    </row>
    <row r="63" spans="1:24" x14ac:dyDescent="0.25">
      <c r="A63" s="3" t="str">
        <f>RESUMO!A71</f>
        <v>50.0</v>
      </c>
      <c r="B63" s="4" t="str">
        <f>RESUMO!B71</f>
        <v>ALIMENTAÇÃO</v>
      </c>
      <c r="C63" s="15">
        <f>RESUMO!D71</f>
        <v>3431.8599999999997</v>
      </c>
      <c r="D63" s="16">
        <f>C63/$C$88</f>
        <v>4.0650277653907034E-4</v>
      </c>
      <c r="E63" s="96"/>
      <c r="F63" s="97"/>
      <c r="G63" s="17">
        <f>C63*100%</f>
        <v>3431.8599999999997</v>
      </c>
      <c r="H63" s="18">
        <f>G63/C63</f>
        <v>1</v>
      </c>
      <c r="I63" s="96"/>
      <c r="J63" s="97"/>
      <c r="K63" s="96"/>
      <c r="L63" s="97"/>
      <c r="M63" s="96"/>
      <c r="N63" s="97"/>
      <c r="W63" s="126"/>
      <c r="X63" s="97"/>
    </row>
    <row r="64" spans="1:24" ht="25.5" x14ac:dyDescent="0.25">
      <c r="A64" s="3" t="str">
        <f>RESUMO!A72</f>
        <v>51.0</v>
      </c>
      <c r="B64" s="4" t="str">
        <f>RESUMO!B72</f>
        <v>ÁGUA FRIA - RAMAL DE DISTRIBUIÇÃO ESCOLAR</v>
      </c>
      <c r="C64" s="15">
        <f>RESUMO!D72</f>
        <v>26102.200000000008</v>
      </c>
      <c r="D64" s="16">
        <f t="shared" ref="D64:D76" si="7">C64/$C$88</f>
        <v>3.0917976764139928E-3</v>
      </c>
      <c r="E64" s="96"/>
      <c r="F64" s="97"/>
      <c r="G64" s="96"/>
      <c r="H64" s="97"/>
      <c r="I64" s="96"/>
      <c r="J64" s="97"/>
      <c r="K64" s="96"/>
      <c r="L64" s="97"/>
      <c r="M64" s="96"/>
      <c r="N64" s="97"/>
      <c r="O64" s="96"/>
      <c r="P64" s="97"/>
      <c r="Q64" s="96"/>
      <c r="R64" s="97"/>
      <c r="S64" s="17">
        <f>C64*100%</f>
        <v>26102.200000000008</v>
      </c>
      <c r="T64" s="18">
        <f t="shared" ref="T64:T68" si="8">S64/$C64</f>
        <v>1</v>
      </c>
      <c r="U64" s="96"/>
      <c r="V64" s="97"/>
      <c r="W64" s="96"/>
      <c r="X64" s="97"/>
    </row>
    <row r="65" spans="1:24" x14ac:dyDescent="0.25">
      <c r="A65" s="3" t="str">
        <f>RESUMO!A73</f>
        <v>52.0</v>
      </c>
      <c r="B65" s="4" t="str">
        <f>RESUMO!B73</f>
        <v>CISTERNA E CAIXAS D'ÁGUA</v>
      </c>
      <c r="C65" s="15">
        <f>RESUMO!D73</f>
        <v>101254.09999999999</v>
      </c>
      <c r="D65" s="16">
        <f t="shared" si="7"/>
        <v>1.1993517447088367E-2</v>
      </c>
      <c r="E65" s="96"/>
      <c r="F65" s="97"/>
      <c r="G65" s="96"/>
      <c r="H65" s="97"/>
      <c r="I65" s="96"/>
      <c r="J65" s="97"/>
      <c r="K65" s="96"/>
      <c r="L65" s="97"/>
      <c r="M65" s="96"/>
      <c r="N65" s="97"/>
      <c r="O65" s="96"/>
      <c r="P65" s="97"/>
      <c r="Q65" s="96"/>
      <c r="R65" s="97"/>
      <c r="S65" s="96"/>
      <c r="T65" s="97"/>
      <c r="U65" s="17">
        <f>C65*100%</f>
        <v>101254.09999999999</v>
      </c>
      <c r="V65" s="18">
        <f t="shared" ref="V65" si="9">U65/C65</f>
        <v>1</v>
      </c>
      <c r="W65" s="96"/>
      <c r="X65" s="97"/>
    </row>
    <row r="66" spans="1:24" x14ac:dyDescent="0.25">
      <c r="A66" s="3" t="str">
        <f>RESUMO!A74</f>
        <v>53.0</v>
      </c>
      <c r="B66" s="4" t="str">
        <f>RESUMO!B74</f>
        <v xml:space="preserve">LOUÇAS PARA OS BANHEIROS COLETIVOS </v>
      </c>
      <c r="C66" s="15">
        <f>RESUMO!D74</f>
        <v>7261.8099999999995</v>
      </c>
      <c r="D66" s="16">
        <f t="shared" si="7"/>
        <v>8.6015919288641917E-4</v>
      </c>
      <c r="E66" s="96"/>
      <c r="F66" s="97"/>
      <c r="G66" s="96"/>
      <c r="H66" s="97"/>
      <c r="I66" s="96"/>
      <c r="J66" s="97"/>
      <c r="K66" s="96"/>
      <c r="L66" s="97"/>
      <c r="M66" s="96"/>
      <c r="N66" s="97"/>
      <c r="O66" s="96"/>
      <c r="P66" s="97"/>
      <c r="Q66" s="96"/>
      <c r="R66" s="97"/>
      <c r="S66" s="17">
        <f>C66*100%</f>
        <v>7261.8099999999995</v>
      </c>
      <c r="T66" s="18">
        <f t="shared" si="8"/>
        <v>1</v>
      </c>
      <c r="U66" s="96"/>
      <c r="V66" s="97"/>
      <c r="W66" s="96"/>
      <c r="X66" s="97"/>
    </row>
    <row r="67" spans="1:24" x14ac:dyDescent="0.25">
      <c r="A67" s="3" t="str">
        <f>RESUMO!A75</f>
        <v>54.0</v>
      </c>
      <c r="B67" s="4" t="str">
        <f>RESUMO!B75</f>
        <v>LOUÇAS PARA VESTIÁRIOS</v>
      </c>
      <c r="C67" s="15">
        <f>RESUMO!D75</f>
        <v>3207.27</v>
      </c>
      <c r="D67" s="16">
        <f t="shared" si="7"/>
        <v>3.7990015912958691E-4</v>
      </c>
      <c r="E67" s="96"/>
      <c r="F67" s="97"/>
      <c r="G67" s="96"/>
      <c r="H67" s="97"/>
      <c r="I67" s="96"/>
      <c r="J67" s="97"/>
      <c r="K67" s="96"/>
      <c r="L67" s="97"/>
      <c r="M67" s="96"/>
      <c r="N67" s="97"/>
      <c r="O67" s="96"/>
      <c r="P67" s="97"/>
      <c r="Q67" s="96"/>
      <c r="R67" s="97"/>
      <c r="S67" s="17">
        <f>C67*100%</f>
        <v>3207.27</v>
      </c>
      <c r="T67" s="18">
        <f t="shared" si="8"/>
        <v>1</v>
      </c>
      <c r="U67" s="96"/>
      <c r="V67" s="97"/>
      <c r="W67" s="126"/>
      <c r="X67" s="97"/>
    </row>
    <row r="68" spans="1:24" x14ac:dyDescent="0.25">
      <c r="A68" s="3" t="str">
        <f>RESUMO!A76</f>
        <v>55.0</v>
      </c>
      <c r="B68" s="4" t="str">
        <f>RESUMO!B76</f>
        <v>BANHEIROS FUNCIONÁRIOS E COPA</v>
      </c>
      <c r="C68" s="15">
        <f>RESUMO!D76</f>
        <v>2723.75</v>
      </c>
      <c r="D68" s="16">
        <f t="shared" si="7"/>
        <v>3.2262736172171733E-4</v>
      </c>
      <c r="E68" s="96"/>
      <c r="F68" s="97"/>
      <c r="G68" s="96"/>
      <c r="H68" s="97"/>
      <c r="I68" s="96"/>
      <c r="J68" s="97"/>
      <c r="K68" s="96"/>
      <c r="L68" s="97"/>
      <c r="M68" s="96"/>
      <c r="N68" s="97"/>
      <c r="O68" s="96"/>
      <c r="P68" s="97"/>
      <c r="Q68" s="96"/>
      <c r="R68" s="97"/>
      <c r="S68" s="17">
        <f>C68*100%</f>
        <v>2723.75</v>
      </c>
      <c r="T68" s="18">
        <f t="shared" si="8"/>
        <v>1</v>
      </c>
      <c r="U68" s="96"/>
      <c r="V68" s="97"/>
      <c r="W68" s="96"/>
      <c r="X68" s="97"/>
    </row>
    <row r="69" spans="1:24" x14ac:dyDescent="0.25">
      <c r="A69" s="3" t="str">
        <f>RESUMO!A77</f>
        <v>56.0</v>
      </c>
      <c r="B69" s="4" t="str">
        <f>RESUMO!B77</f>
        <v>LOUÇAS LABORATÓRIOS</v>
      </c>
      <c r="C69" s="15">
        <f>RESUMO!D77</f>
        <v>5133.41</v>
      </c>
      <c r="D69" s="16">
        <f t="shared" si="7"/>
        <v>6.080508581682904E-4</v>
      </c>
      <c r="E69" s="96"/>
      <c r="F69" s="97"/>
      <c r="G69" s="96"/>
      <c r="H69" s="97"/>
      <c r="I69" s="96"/>
      <c r="J69" s="97"/>
      <c r="K69" s="96"/>
      <c r="L69" s="97"/>
      <c r="M69" s="96"/>
      <c r="N69" s="97"/>
      <c r="O69" s="96"/>
      <c r="P69" s="97"/>
      <c r="Q69" s="96"/>
      <c r="R69" s="97"/>
      <c r="S69" s="96"/>
      <c r="T69" s="97"/>
      <c r="U69" s="17">
        <f>C69*100%</f>
        <v>5133.41</v>
      </c>
      <c r="V69" s="18">
        <f t="shared" ref="V69" si="10">U69/C69</f>
        <v>1</v>
      </c>
      <c r="W69" s="126"/>
      <c r="X69" s="97"/>
    </row>
    <row r="70" spans="1:24" ht="38.25" x14ac:dyDescent="0.25">
      <c r="A70" s="3" t="str">
        <f>RESUMO!A78</f>
        <v>57.0</v>
      </c>
      <c r="B70" s="4" t="str">
        <f>RESUMO!B78</f>
        <v>ACESSORIOS COMPLEMENTARES E LOUÇAS PARA COZINHA, ÁREA DE SERVIÇO E REFEITÓRIO</v>
      </c>
      <c r="C70" s="15">
        <f>RESUMO!D78</f>
        <v>24150.339999999997</v>
      </c>
      <c r="D70" s="16">
        <f t="shared" si="7"/>
        <v>2.8606004511729996E-3</v>
      </c>
      <c r="E70" s="96"/>
      <c r="F70" s="97"/>
      <c r="G70" s="96"/>
      <c r="H70" s="97"/>
      <c r="I70" s="96"/>
      <c r="J70" s="97"/>
      <c r="K70" s="96"/>
      <c r="L70" s="97"/>
      <c r="M70" s="96"/>
      <c r="N70" s="97"/>
      <c r="O70" s="96"/>
      <c r="P70" s="97"/>
      <c r="Q70" s="96"/>
      <c r="R70" s="97"/>
      <c r="S70" s="96"/>
      <c r="T70" s="97"/>
      <c r="U70" s="17">
        <f>C70*100%</f>
        <v>24150.339999999997</v>
      </c>
      <c r="V70" s="18">
        <f t="shared" ref="V70" si="11">U70/C70</f>
        <v>1</v>
      </c>
      <c r="W70" s="96"/>
      <c r="X70" s="97"/>
    </row>
    <row r="71" spans="1:24" x14ac:dyDescent="0.25">
      <c r="A71" s="3" t="str">
        <f>RESUMO!A79</f>
        <v>58.0</v>
      </c>
      <c r="B71" s="4" t="str">
        <f>RESUMO!B79</f>
        <v>BANHEIROS FUNCIONÁRIOS REFEITÓRIO</v>
      </c>
      <c r="C71" s="15">
        <f>RESUMO!D79</f>
        <v>1773.9999999999998</v>
      </c>
      <c r="D71" s="16">
        <f t="shared" si="7"/>
        <v>2.1012976216404827E-4</v>
      </c>
      <c r="E71" s="96"/>
      <c r="F71" s="97"/>
      <c r="G71" s="96"/>
      <c r="H71" s="97"/>
      <c r="I71" s="96"/>
      <c r="J71" s="97"/>
      <c r="K71" s="96"/>
      <c r="L71" s="97"/>
      <c r="M71" s="96"/>
      <c r="N71" s="97"/>
      <c r="O71" s="96"/>
      <c r="P71" s="97"/>
      <c r="Q71" s="96"/>
      <c r="R71" s="97"/>
      <c r="S71" s="17">
        <f>C71*100%</f>
        <v>1773.9999999999998</v>
      </c>
      <c r="T71" s="18">
        <f t="shared" ref="T71" si="12">S71/$C71</f>
        <v>1</v>
      </c>
      <c r="U71" s="96"/>
      <c r="V71" s="97"/>
      <c r="W71" s="126"/>
      <c r="X71" s="97"/>
    </row>
    <row r="72" spans="1:24" ht="25.5" x14ac:dyDescent="0.25">
      <c r="A72" s="3" t="str">
        <f>RESUMO!A80</f>
        <v>59.0</v>
      </c>
      <c r="B72" s="4" t="str">
        <f>RESUMO!B80</f>
        <v>ACESSORIOS E LOUÇAS PARA BANHEIROS PCDs</v>
      </c>
      <c r="C72" s="15">
        <f>RESUMO!D80</f>
        <v>13903.430000000002</v>
      </c>
      <c r="D72" s="16">
        <f t="shared" si="7"/>
        <v>1.6468570683001661E-3</v>
      </c>
      <c r="E72" s="96"/>
      <c r="F72" s="97"/>
      <c r="G72" s="96"/>
      <c r="H72" s="97"/>
      <c r="I72" s="96"/>
      <c r="J72" s="97"/>
      <c r="K72" s="96"/>
      <c r="L72" s="97"/>
      <c r="M72" s="96"/>
      <c r="N72" s="97"/>
      <c r="O72" s="96"/>
      <c r="P72" s="97"/>
      <c r="Q72" s="96"/>
      <c r="R72" s="97"/>
      <c r="S72" s="96"/>
      <c r="T72" s="97"/>
      <c r="U72" s="17">
        <f>C72*100%</f>
        <v>13903.430000000002</v>
      </c>
      <c r="V72" s="18">
        <f t="shared" ref="V72" si="13">U72/C72</f>
        <v>1</v>
      </c>
      <c r="W72" s="96"/>
      <c r="X72" s="97"/>
    </row>
    <row r="73" spans="1:24" x14ac:dyDescent="0.25">
      <c r="A73" s="3" t="str">
        <f>RESUMO!A81</f>
        <v>60.0</v>
      </c>
      <c r="B73" s="4" t="str">
        <f>RESUMO!B81</f>
        <v>INSTALAÇÕES SANITARIAS</v>
      </c>
      <c r="C73" s="15">
        <f>RESUMO!D81</f>
        <v>28141.84</v>
      </c>
      <c r="D73" s="16">
        <f t="shared" si="7"/>
        <v>3.3333924160421089E-3</v>
      </c>
      <c r="E73" s="96"/>
      <c r="F73" s="97"/>
      <c r="G73" s="96"/>
      <c r="H73" s="97"/>
      <c r="I73" s="96"/>
      <c r="J73" s="97"/>
      <c r="K73" s="96"/>
      <c r="L73" s="97"/>
      <c r="M73" s="96"/>
      <c r="N73" s="97"/>
      <c r="O73" s="96"/>
      <c r="P73" s="97"/>
      <c r="Q73" s="96"/>
      <c r="R73" s="97"/>
      <c r="S73" s="17">
        <f t="shared" ref="S73" si="14">C73*50%</f>
        <v>14070.92</v>
      </c>
      <c r="T73" s="18">
        <f t="shared" ref="T73" si="15">S73/C73</f>
        <v>0.5</v>
      </c>
      <c r="U73" s="17">
        <f>C73*50%</f>
        <v>14070.92</v>
      </c>
      <c r="V73" s="18">
        <f t="shared" ref="V73:V74" si="16">U73/C73</f>
        <v>0.5</v>
      </c>
      <c r="W73" s="126"/>
      <c r="X73" s="97"/>
    </row>
    <row r="74" spans="1:24" x14ac:dyDescent="0.25">
      <c r="A74" s="3" t="str">
        <f>RESUMO!A82</f>
        <v>61.0</v>
      </c>
      <c r="B74" s="4" t="str">
        <f>RESUMO!B82</f>
        <v>VENTILAÇÃO ESGOTO</v>
      </c>
      <c r="C74" s="15">
        <f>RESUMO!D82</f>
        <v>1477.3300000000002</v>
      </c>
      <c r="D74" s="16">
        <f t="shared" si="7"/>
        <v>1.7498929060756117E-4</v>
      </c>
      <c r="E74" s="96"/>
      <c r="F74" s="97"/>
      <c r="G74" s="96"/>
      <c r="H74" s="97"/>
      <c r="I74" s="96"/>
      <c r="J74" s="97"/>
      <c r="K74" s="96"/>
      <c r="L74" s="97"/>
      <c r="M74" s="96"/>
      <c r="N74" s="97"/>
      <c r="O74" s="96"/>
      <c r="P74" s="97"/>
      <c r="Q74" s="96"/>
      <c r="R74" s="97"/>
      <c r="S74" s="96"/>
      <c r="T74" s="97"/>
      <c r="U74" s="17">
        <f>C74*100%</f>
        <v>1477.3300000000002</v>
      </c>
      <c r="V74" s="18">
        <f t="shared" si="16"/>
        <v>1</v>
      </c>
      <c r="W74" s="96"/>
      <c r="X74" s="97"/>
    </row>
    <row r="75" spans="1:24" x14ac:dyDescent="0.25">
      <c r="A75" s="3" t="str">
        <f>RESUMO!A83</f>
        <v>62.0</v>
      </c>
      <c r="B75" s="4" t="str">
        <f>RESUMO!B83</f>
        <v>SISTEMA DE TRATAMENTO DE ESGOTO</v>
      </c>
      <c r="C75" s="15">
        <f>RESUMO!D83</f>
        <v>63066.83</v>
      </c>
      <c r="D75" s="16">
        <f t="shared" si="7"/>
        <v>7.4702468930893271E-3</v>
      </c>
      <c r="E75" s="96"/>
      <c r="F75" s="97"/>
      <c r="G75" s="96"/>
      <c r="H75" s="97"/>
      <c r="I75" s="96"/>
      <c r="J75" s="97"/>
      <c r="K75" s="96"/>
      <c r="L75" s="97"/>
      <c r="M75" s="96"/>
      <c r="N75" s="97"/>
      <c r="O75" s="96"/>
      <c r="P75" s="97"/>
      <c r="Q75" s="17">
        <f>C75*30%</f>
        <v>18920.048999999999</v>
      </c>
      <c r="R75" s="18">
        <f t="shared" ref="R75" si="17">Q75/C75</f>
        <v>0.3</v>
      </c>
      <c r="S75" s="17">
        <f>C75*40%</f>
        <v>25226.732000000004</v>
      </c>
      <c r="T75" s="18">
        <f t="shared" ref="T75" si="18">S75/C75</f>
        <v>0.4</v>
      </c>
      <c r="U75" s="17">
        <f t="shared" ref="U75" si="19">C75*30%</f>
        <v>18920.048999999999</v>
      </c>
      <c r="V75" s="18">
        <f t="shared" ref="V75:V76" si="20">U75/C75</f>
        <v>0.3</v>
      </c>
      <c r="W75" s="126"/>
      <c r="X75" s="97"/>
    </row>
    <row r="76" spans="1:24" ht="25.5" x14ac:dyDescent="0.25">
      <c r="A76" s="3" t="str">
        <f>RESUMO!A84</f>
        <v>63.0</v>
      </c>
      <c r="B76" s="4" t="str">
        <f>RESUMO!B84</f>
        <v>DRENO DOS CONDICIONADORES DE AR E DRENAGEM PLUVIAL</v>
      </c>
      <c r="C76" s="15">
        <f>RESUMO!D84</f>
        <v>71612.81</v>
      </c>
      <c r="D76" s="16">
        <f t="shared" si="7"/>
        <v>8.4825156331449717E-3</v>
      </c>
      <c r="E76" s="96"/>
      <c r="F76" s="97"/>
      <c r="G76" s="96"/>
      <c r="H76" s="97"/>
      <c r="I76" s="96"/>
      <c r="J76" s="97"/>
      <c r="K76" s="96"/>
      <c r="L76" s="97"/>
      <c r="M76" s="96"/>
      <c r="N76" s="97"/>
      <c r="O76" s="96"/>
      <c r="P76" s="97"/>
      <c r="Q76" s="96"/>
      <c r="R76" s="97"/>
      <c r="S76" s="96"/>
      <c r="T76" s="97"/>
      <c r="U76" s="17">
        <f>C76*100%</f>
        <v>71612.81</v>
      </c>
      <c r="V76" s="18">
        <f t="shared" si="20"/>
        <v>1</v>
      </c>
      <c r="W76" s="96"/>
      <c r="X76" s="97"/>
    </row>
    <row r="77" spans="1:24" x14ac:dyDescent="0.25">
      <c r="A77" s="702" t="str">
        <f>RESUMO!A86</f>
        <v>INSTALAÇÕES DE GÁS</v>
      </c>
      <c r="B77" s="702"/>
      <c r="C77" s="702"/>
      <c r="D77" s="702"/>
      <c r="E77" s="101"/>
      <c r="F77" s="102"/>
      <c r="G77" s="101"/>
      <c r="H77" s="102"/>
      <c r="I77" s="101"/>
      <c r="J77" s="102"/>
      <c r="K77" s="101"/>
      <c r="L77" s="102"/>
      <c r="M77" s="101"/>
      <c r="N77" s="102"/>
      <c r="O77" s="101"/>
      <c r="P77" s="102"/>
      <c r="Q77" s="101"/>
      <c r="R77" s="102"/>
      <c r="S77" s="101"/>
      <c r="T77" s="102"/>
      <c r="U77" s="101"/>
      <c r="V77" s="102"/>
      <c r="W77" s="101"/>
      <c r="X77" s="102"/>
    </row>
    <row r="78" spans="1:24" x14ac:dyDescent="0.25">
      <c r="A78" s="3" t="str">
        <f>RESUMO!A87</f>
        <v>64.0</v>
      </c>
      <c r="B78" s="4" t="str">
        <f>RESUMO!B87</f>
        <v>INSTALAÇÕES DE GÁS</v>
      </c>
      <c r="C78" s="15">
        <f>RESUMO!D87</f>
        <v>30211.7</v>
      </c>
      <c r="D78" s="16">
        <f>C78/$C$88</f>
        <v>3.5785667055082179E-3</v>
      </c>
      <c r="E78" s="96"/>
      <c r="F78" s="97"/>
      <c r="G78" s="96"/>
      <c r="H78" s="97"/>
      <c r="I78" s="96"/>
      <c r="J78" s="97"/>
      <c r="K78" s="96"/>
      <c r="L78" s="97"/>
      <c r="M78" s="96"/>
      <c r="N78" s="97"/>
      <c r="O78" s="96"/>
      <c r="P78" s="97"/>
      <c r="Q78" s="96"/>
      <c r="R78" s="97"/>
      <c r="S78" s="17">
        <f>C78*50%</f>
        <v>15105.85</v>
      </c>
      <c r="T78" s="18">
        <f>S78/C78</f>
        <v>0.5</v>
      </c>
      <c r="U78" s="17">
        <f>C78*50%</f>
        <v>15105.85</v>
      </c>
      <c r="V78" s="18">
        <f>U78/C78</f>
        <v>0.5</v>
      </c>
      <c r="W78" s="96"/>
      <c r="X78" s="97"/>
    </row>
    <row r="79" spans="1:24" x14ac:dyDescent="0.25">
      <c r="A79" s="702" t="str">
        <f>RESUMO!A89</f>
        <v>INSTALAÇÕES ELÉTRICAS, LÓGICA E SPDA</v>
      </c>
      <c r="B79" s="702"/>
      <c r="C79" s="702"/>
      <c r="D79" s="702"/>
      <c r="E79" s="101"/>
      <c r="F79" s="102"/>
      <c r="G79" s="101"/>
      <c r="H79" s="102"/>
      <c r="I79" s="101"/>
      <c r="J79" s="102"/>
      <c r="K79" s="101"/>
      <c r="L79" s="102"/>
      <c r="M79" s="101"/>
      <c r="N79" s="102"/>
      <c r="O79" s="101"/>
      <c r="P79" s="102"/>
      <c r="Q79" s="101"/>
      <c r="R79" s="102"/>
      <c r="S79" s="101"/>
      <c r="T79" s="102"/>
      <c r="U79" s="101"/>
      <c r="V79" s="102"/>
      <c r="W79" s="101"/>
      <c r="X79" s="102"/>
    </row>
    <row r="80" spans="1:24" x14ac:dyDescent="0.25">
      <c r="A80" s="3" t="str">
        <f>RESUMO!A90</f>
        <v>65.0</v>
      </c>
      <c r="B80" s="4" t="str">
        <f>RESUMO!B90</f>
        <v>INSTALAÇÕES ELÉTRICAS - BAIXA TENSÃO</v>
      </c>
      <c r="C80" s="15">
        <f>RESUMO!D90</f>
        <v>453953.23000000016</v>
      </c>
      <c r="D80" s="16">
        <f t="shared" ref="D80:D81" si="21">C80/$C$88</f>
        <v>5.3770622465333456E-2</v>
      </c>
      <c r="E80" s="96"/>
      <c r="F80" s="97"/>
      <c r="G80" s="96"/>
      <c r="H80" s="97"/>
      <c r="I80" s="96"/>
      <c r="J80" s="97"/>
      <c r="K80" s="96"/>
      <c r="L80" s="97"/>
      <c r="M80" s="126"/>
      <c r="N80" s="127"/>
      <c r="O80" s="17">
        <f>C80*10%</f>
        <v>45395.323000000019</v>
      </c>
      <c r="P80" s="18">
        <f>O80/C80</f>
        <v>0.1</v>
      </c>
      <c r="Q80" s="17">
        <f>C80*10%</f>
        <v>45395.323000000019</v>
      </c>
      <c r="R80" s="18">
        <f>Q80/C80</f>
        <v>0.1</v>
      </c>
      <c r="S80" s="17">
        <f>C80*50%</f>
        <v>226976.61500000008</v>
      </c>
      <c r="T80" s="18">
        <f>S80/C80</f>
        <v>0.5</v>
      </c>
      <c r="U80" s="17">
        <f>C80*30%</f>
        <v>136185.96900000004</v>
      </c>
      <c r="V80" s="18">
        <f>U80/C80</f>
        <v>0.3</v>
      </c>
      <c r="W80" s="126"/>
      <c r="X80" s="97"/>
    </row>
    <row r="81" spans="1:24" ht="25.5" x14ac:dyDescent="0.25">
      <c r="A81" s="3" t="str">
        <f>RESUMO!A91</f>
        <v>66.0</v>
      </c>
      <c r="B81" s="4" t="str">
        <f>RESUMO!B91</f>
        <v>SPDA - SISTEMA DE PROTEÇÃO CONTRA DESCARGA ATMOSFERICAS</v>
      </c>
      <c r="C81" s="15">
        <f>RESUMO!D91</f>
        <v>110914.23</v>
      </c>
      <c r="D81" s="16">
        <f t="shared" si="21"/>
        <v>1.3137756916859386E-2</v>
      </c>
      <c r="E81" s="96"/>
      <c r="F81" s="97"/>
      <c r="G81" s="96"/>
      <c r="H81" s="97"/>
      <c r="I81" s="96"/>
      <c r="J81" s="97"/>
      <c r="K81" s="96"/>
      <c r="L81" s="97"/>
      <c r="M81" s="126"/>
      <c r="N81" s="127"/>
      <c r="O81" s="17">
        <f>$C81*0.2</f>
        <v>22182.846000000001</v>
      </c>
      <c r="P81" s="18">
        <f>O81/$C81</f>
        <v>0.2</v>
      </c>
      <c r="Q81" s="17">
        <f>$C81*0.2</f>
        <v>22182.846000000001</v>
      </c>
      <c r="R81" s="18">
        <f>Q81/$C81</f>
        <v>0.2</v>
      </c>
      <c r="S81" s="17">
        <f>$C81*0.2</f>
        <v>22182.846000000001</v>
      </c>
      <c r="T81" s="18">
        <f>S81/$C81</f>
        <v>0.2</v>
      </c>
      <c r="U81" s="17">
        <f>$C81*0.2</f>
        <v>22182.846000000001</v>
      </c>
      <c r="V81" s="18">
        <f>U81/$C81</f>
        <v>0.2</v>
      </c>
      <c r="W81" s="17">
        <f>$C81*0.2</f>
        <v>22182.846000000001</v>
      </c>
      <c r="X81" s="18">
        <f>W81/$C81</f>
        <v>0.2</v>
      </c>
    </row>
    <row r="82" spans="1:24" x14ac:dyDescent="0.25">
      <c r="A82" s="702" t="str">
        <f>RESUMO!A93</f>
        <v>PREVENÇÃO E COMBATE A INCÊNDIO</v>
      </c>
      <c r="B82" s="702"/>
      <c r="C82" s="702"/>
      <c r="D82" s="702"/>
      <c r="E82" s="101"/>
      <c r="F82" s="102"/>
      <c r="G82" s="101"/>
      <c r="H82" s="102"/>
      <c r="I82" s="101"/>
      <c r="J82" s="102"/>
      <c r="K82" s="101"/>
      <c r="L82" s="102"/>
      <c r="M82" s="128"/>
      <c r="N82" s="129"/>
      <c r="O82" s="128"/>
      <c r="P82" s="129"/>
      <c r="Q82" s="128"/>
      <c r="R82" s="129"/>
      <c r="S82" s="128"/>
      <c r="T82" s="129"/>
      <c r="U82" s="128"/>
      <c r="V82" s="129"/>
      <c r="W82" s="128"/>
      <c r="X82" s="102"/>
    </row>
    <row r="83" spans="1:24" x14ac:dyDescent="0.25">
      <c r="A83" s="3" t="str">
        <f>RESUMO!A94</f>
        <v>67.0</v>
      </c>
      <c r="B83" s="4" t="str">
        <f>RESUMO!B94</f>
        <v>EXTINTORES DE INCÊNDIO</v>
      </c>
      <c r="C83" s="15">
        <f>RESUMO!D94</f>
        <v>3572.8100000000004</v>
      </c>
      <c r="D83" s="16">
        <f t="shared" ref="D83:D87" si="22">C83/$C$88</f>
        <v>4.2319826130627594E-4</v>
      </c>
      <c r="E83" s="96"/>
      <c r="F83" s="97"/>
      <c r="G83" s="96"/>
      <c r="H83" s="97"/>
      <c r="I83" s="96"/>
      <c r="J83" s="97"/>
      <c r="K83" s="96"/>
      <c r="L83" s="97"/>
      <c r="M83" s="126"/>
      <c r="N83" s="127"/>
      <c r="O83" s="126"/>
      <c r="P83" s="127"/>
      <c r="Q83" s="126"/>
      <c r="R83" s="127"/>
      <c r="S83" s="126"/>
      <c r="T83" s="127"/>
      <c r="U83" s="126"/>
      <c r="V83" s="127"/>
      <c r="W83" s="17">
        <f>C83*100%</f>
        <v>3572.8100000000004</v>
      </c>
      <c r="X83" s="18">
        <f>W83/C83</f>
        <v>1</v>
      </c>
    </row>
    <row r="84" spans="1:24" x14ac:dyDescent="0.25">
      <c r="A84" s="3" t="str">
        <f>RESUMO!A95</f>
        <v>68.0</v>
      </c>
      <c r="B84" s="4" t="str">
        <f>RESUMO!B95</f>
        <v>SINALIZAÇÃO - SAIDA DE EMERGENCIA</v>
      </c>
      <c r="C84" s="15">
        <f>RESUMO!D95</f>
        <v>2040.25</v>
      </c>
      <c r="D84" s="16">
        <f t="shared" si="22"/>
        <v>2.4166699394317901E-4</v>
      </c>
      <c r="E84" s="96"/>
      <c r="F84" s="97"/>
      <c r="G84" s="96"/>
      <c r="H84" s="97"/>
      <c r="I84" s="96"/>
      <c r="J84" s="97"/>
      <c r="K84" s="96"/>
      <c r="L84" s="97"/>
      <c r="M84" s="126"/>
      <c r="N84" s="127"/>
      <c r="O84" s="126"/>
      <c r="P84" s="127"/>
      <c r="Q84" s="126"/>
      <c r="R84" s="127"/>
      <c r="S84" s="126"/>
      <c r="T84" s="127"/>
      <c r="U84" s="126"/>
      <c r="V84" s="127"/>
      <c r="W84" s="17">
        <f>C84*100%</f>
        <v>2040.25</v>
      </c>
      <c r="X84" s="18">
        <f>W84/C84</f>
        <v>1</v>
      </c>
    </row>
    <row r="85" spans="1:24" x14ac:dyDescent="0.25">
      <c r="A85" s="3" t="str">
        <f>RESUMO!A96</f>
        <v>69.0</v>
      </c>
      <c r="B85" s="4" t="str">
        <f>RESUMO!B96</f>
        <v>SISTEMA DE ALARME DE EMERGENCIA</v>
      </c>
      <c r="C85" s="15">
        <f>RESUMO!D96</f>
        <v>15550.430000000002</v>
      </c>
      <c r="D85" s="16">
        <f t="shared" si="22"/>
        <v>1.84194371896769E-3</v>
      </c>
      <c r="E85" s="96"/>
      <c r="F85" s="97"/>
      <c r="G85" s="96"/>
      <c r="H85" s="97"/>
      <c r="I85" s="96"/>
      <c r="J85" s="97"/>
      <c r="K85" s="96"/>
      <c r="L85" s="97"/>
      <c r="M85" s="126"/>
      <c r="N85" s="127"/>
      <c r="O85" s="126"/>
      <c r="P85" s="127"/>
      <c r="Q85" s="17">
        <f>$C85*25%</f>
        <v>3887.6075000000005</v>
      </c>
      <c r="R85" s="18">
        <f>Q85/$C85</f>
        <v>0.25</v>
      </c>
      <c r="S85" s="17">
        <f>$C85*25%</f>
        <v>3887.6075000000005</v>
      </c>
      <c r="T85" s="18">
        <f>S85/$C85</f>
        <v>0.25</v>
      </c>
      <c r="U85" s="17">
        <f>$C85*25%</f>
        <v>3887.6075000000005</v>
      </c>
      <c r="V85" s="18">
        <f>U85/$C85</f>
        <v>0.25</v>
      </c>
      <c r="W85" s="17">
        <f>$C85*25%</f>
        <v>3887.6075000000005</v>
      </c>
      <c r="X85" s="18">
        <f>W85/$C85</f>
        <v>0.25</v>
      </c>
    </row>
    <row r="86" spans="1:24" ht="25.5" x14ac:dyDescent="0.25">
      <c r="A86" s="3" t="str">
        <f>RESUMO!A97</f>
        <v>70.0</v>
      </c>
      <c r="B86" s="4" t="str">
        <f>RESUMO!B97</f>
        <v>SISTEMA DE ACIONAMENTO DO HIDRANTE</v>
      </c>
      <c r="C86" s="15">
        <f>RESUMO!D97</f>
        <v>63546.47</v>
      </c>
      <c r="D86" s="16">
        <f t="shared" si="22"/>
        <v>7.5270601056735241E-3</v>
      </c>
      <c r="E86" s="96"/>
      <c r="F86" s="97"/>
      <c r="G86" s="96"/>
      <c r="H86" s="97"/>
      <c r="I86" s="96"/>
      <c r="J86" s="97"/>
      <c r="K86" s="96"/>
      <c r="L86" s="97"/>
      <c r="M86" s="126"/>
      <c r="N86" s="127"/>
      <c r="O86" s="126"/>
      <c r="P86" s="127"/>
      <c r="Q86" s="17">
        <f>$C86*25%</f>
        <v>15886.6175</v>
      </c>
      <c r="R86" s="18">
        <f>Q86/$C86</f>
        <v>0.25</v>
      </c>
      <c r="S86" s="17">
        <f>$C86*25%</f>
        <v>15886.6175</v>
      </c>
      <c r="T86" s="18">
        <f>S86/$C86</f>
        <v>0.25</v>
      </c>
      <c r="U86" s="17">
        <f>$C86*25%</f>
        <v>15886.6175</v>
      </c>
      <c r="V86" s="18">
        <f>U86/$C86</f>
        <v>0.25</v>
      </c>
      <c r="W86" s="17">
        <f>$C86*25%</f>
        <v>15886.6175</v>
      </c>
      <c r="X86" s="18">
        <f>W86/$C86</f>
        <v>0.25</v>
      </c>
    </row>
    <row r="87" spans="1:24" x14ac:dyDescent="0.25">
      <c r="A87" s="3" t="str">
        <f>RESUMO!A98</f>
        <v>71.0</v>
      </c>
      <c r="B87" s="4" t="str">
        <f>RESUMO!B98</f>
        <v>LUMINARIA DE EMERGENCIA</v>
      </c>
      <c r="C87" s="15">
        <f>RESUMO!D98</f>
        <v>26317.42</v>
      </c>
      <c r="D87" s="16">
        <f t="shared" si="22"/>
        <v>3.1172904201642432E-3</v>
      </c>
      <c r="E87" s="96"/>
      <c r="F87" s="97"/>
      <c r="G87" s="96"/>
      <c r="H87" s="97"/>
      <c r="I87" s="96"/>
      <c r="J87" s="97"/>
      <c r="K87" s="96"/>
      <c r="L87" s="97"/>
      <c r="M87" s="126"/>
      <c r="N87" s="127"/>
      <c r="O87" s="126"/>
      <c r="P87" s="127"/>
      <c r="Q87" s="126"/>
      <c r="R87" s="127"/>
      <c r="S87" s="126"/>
      <c r="T87" s="127"/>
      <c r="U87" s="17">
        <f>C87*50%</f>
        <v>13158.71</v>
      </c>
      <c r="V87" s="18">
        <f>U87/C87</f>
        <v>0.5</v>
      </c>
      <c r="W87" s="17">
        <f>C87*50%</f>
        <v>13158.71</v>
      </c>
      <c r="X87" s="18">
        <f>W87/C87</f>
        <v>0.5</v>
      </c>
    </row>
    <row r="88" spans="1:24" x14ac:dyDescent="0.25">
      <c r="A88" s="7"/>
      <c r="B88" s="6" t="s">
        <v>43</v>
      </c>
      <c r="C88" s="21">
        <f>SUM(C9:C87)</f>
        <v>8442402.3599999994</v>
      </c>
      <c r="D88" s="22">
        <f>SUM(D9:D87)</f>
        <v>1.0000000000000002</v>
      </c>
      <c r="E88" s="21">
        <f>SUM(E9:E87)</f>
        <v>231054.84800000003</v>
      </c>
      <c r="F88" s="23">
        <f>E88/$C$88</f>
        <v>2.7368376695090381E-2</v>
      </c>
      <c r="G88" s="21">
        <f>SUM(G9:G87)</f>
        <v>464417.29300000006</v>
      </c>
      <c r="H88" s="23">
        <f>G88/$C$88</f>
        <v>5.5010087555220487E-2</v>
      </c>
      <c r="I88" s="21">
        <f>SUM(I9:I87)</f>
        <v>628834.02449999994</v>
      </c>
      <c r="J88" s="23">
        <f>I88/$C$88</f>
        <v>7.4485199554028367E-2</v>
      </c>
      <c r="K88" s="21">
        <f>SUM(K9:K87)</f>
        <v>635409.01199999987</v>
      </c>
      <c r="L88" s="23">
        <f>K88/$C$88</f>
        <v>7.5264004830018535E-2</v>
      </c>
      <c r="M88" s="21">
        <f>SUM(M9:M87)</f>
        <v>589893.35049999994</v>
      </c>
      <c r="N88" s="23">
        <f>M88/$C$88</f>
        <v>6.9872688524644067E-2</v>
      </c>
      <c r="O88" s="21">
        <f>SUM(O9:O87)</f>
        <v>1167820.2779999999</v>
      </c>
      <c r="P88" s="23">
        <f>O88/$C$88</f>
        <v>0.13832795787288205</v>
      </c>
      <c r="Q88" s="21">
        <f>SUM(Q9:Q87)</f>
        <v>1729804.0349999997</v>
      </c>
      <c r="R88" s="23">
        <f>Q88/$C$88</f>
        <v>0.20489476350899719</v>
      </c>
      <c r="S88" s="21">
        <f>SUM(S9:S87)</f>
        <v>1167053.483</v>
      </c>
      <c r="T88" s="23">
        <f>S88/$C$88</f>
        <v>0.13823713123760664</v>
      </c>
      <c r="U88" s="21">
        <f>SUM(U9:U87)</f>
        <v>1246712.112</v>
      </c>
      <c r="V88" s="23">
        <f>U88/$C$88</f>
        <v>0.14767267169199455</v>
      </c>
      <c r="W88" s="21">
        <f>SUM(W9:W87)</f>
        <v>581403.92400000012</v>
      </c>
      <c r="X88" s="23">
        <f>W88/$C$88</f>
        <v>6.8867118529517726E-2</v>
      </c>
    </row>
    <row r="90" spans="1:24" x14ac:dyDescent="0.25">
      <c r="F90" s="169"/>
      <c r="H90" s="169"/>
      <c r="J90" s="169"/>
      <c r="L90" s="169"/>
      <c r="N90" s="169"/>
      <c r="P90" s="169"/>
      <c r="R90" s="169"/>
      <c r="T90" s="169"/>
      <c r="V90" s="169"/>
      <c r="X90" s="169"/>
    </row>
    <row r="91" spans="1:24" x14ac:dyDescent="0.25">
      <c r="A91" s="4"/>
      <c r="B91" s="8"/>
      <c r="C91" s="4"/>
      <c r="D91" s="4"/>
    </row>
    <row r="92" spans="1:24" x14ac:dyDescent="0.25">
      <c r="W92" s="125"/>
    </row>
    <row r="95" spans="1:24" x14ac:dyDescent="0.25">
      <c r="C95" s="15"/>
    </row>
    <row r="100" spans="3:3" x14ac:dyDescent="0.25">
      <c r="C100" s="15"/>
    </row>
  </sheetData>
  <mergeCells count="25">
    <mergeCell ref="U6:V6"/>
    <mergeCell ref="A11:D11"/>
    <mergeCell ref="A27:D27"/>
    <mergeCell ref="A79:D79"/>
    <mergeCell ref="A41:D41"/>
    <mergeCell ref="A8:D8"/>
    <mergeCell ref="A57:D57"/>
    <mergeCell ref="A62:D62"/>
    <mergeCell ref="A77:D77"/>
    <mergeCell ref="W6:X6"/>
    <mergeCell ref="A5:X5"/>
    <mergeCell ref="B1:K1"/>
    <mergeCell ref="A82:D82"/>
    <mergeCell ref="M6:N6"/>
    <mergeCell ref="O6:P6"/>
    <mergeCell ref="A6:A7"/>
    <mergeCell ref="B6:B7"/>
    <mergeCell ref="C6:C7"/>
    <mergeCell ref="D6:D7"/>
    <mergeCell ref="E6:F6"/>
    <mergeCell ref="G6:H6"/>
    <mergeCell ref="I6:J6"/>
    <mergeCell ref="K6:L6"/>
    <mergeCell ref="Q6:R6"/>
    <mergeCell ref="S6:T6"/>
  </mergeCells>
  <pageMargins left="0.511811024" right="0.511811024" top="0.890625" bottom="0.92031249999999998" header="0.31496062000000002" footer="0.31496062000000002"/>
  <pageSetup paperSize="9" scale="42" orientation="landscape" r:id="rId1"/>
  <headerFooter>
    <oddHeader>&amp;L&amp;G&amp;C&amp;"-,Negrito"&amp;9&amp;K00-048GOVERNO DO ESTADO DE MATO GROSSO&amp;"-,Regular"
SECRETARIA DE ESTADO DE EDUCAÇÃO
SECRETARIA ADJUNTA DE ESTRUTURA ESCOLAR&amp;R&amp;G</oddHeader>
    <oddFooter xml:space="preserve">&amp;L&amp;"-,Negrito"&amp;7&amp;K00-049Secretaria de Estado de Educação, Esporte e Lazer de Mato Grosso&amp;"-,Regular"
Rua Engenheiro Edgar Prado Arze, 215 - Centro Político Administrativo
CEP: 78049-909 | Cuiabá-MT
Fone: (65) 3613-6300&amp;C&amp;9&amp;K00-049&amp;P / &amp;N&amp;R&amp;7&amp;K00-049&amp;A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N17"/>
  <sheetViews>
    <sheetView workbookViewId="0">
      <selection activeCell="C11" sqref="C11"/>
    </sheetView>
  </sheetViews>
  <sheetFormatPr defaultColWidth="0" defaultRowHeight="15" zeroHeight="1" x14ac:dyDescent="0.25"/>
  <cols>
    <col min="1" max="1" width="6.85546875" style="262" bestFit="1" customWidth="1"/>
    <col min="2" max="2" width="26.42578125" style="263" bestFit="1" customWidth="1"/>
    <col min="3" max="3" width="29" style="263" customWidth="1"/>
    <col min="4" max="4" width="7.140625" style="262" customWidth="1"/>
    <col min="5" max="5" width="10.85546875" style="264" customWidth="1"/>
    <col min="6" max="6" width="9.5703125" style="264" customWidth="1"/>
    <col min="7" max="7" width="10.28515625" style="265" hidden="1" customWidth="1"/>
    <col min="8" max="8" width="38.42578125" style="263" hidden="1" customWidth="1"/>
    <col min="9" max="9" width="10.85546875" style="263" hidden="1" customWidth="1"/>
    <col min="10" max="11" width="11" style="263" hidden="1" customWidth="1"/>
    <col min="12" max="12" width="16.85546875" style="263" hidden="1" customWidth="1"/>
    <col min="13" max="13" width="9.140625" style="263" hidden="1" customWidth="1"/>
    <col min="14" max="14" width="11.85546875" style="263" hidden="1" customWidth="1"/>
    <col min="15" max="16384" width="9.140625" style="263" hidden="1"/>
  </cols>
  <sheetData>
    <row r="1" spans="1:7" s="223" customFormat="1" ht="12.75" x14ac:dyDescent="0.2">
      <c r="A1" s="707" t="s">
        <v>189</v>
      </c>
      <c r="B1" s="708"/>
      <c r="C1" s="708"/>
      <c r="D1" s="708"/>
      <c r="E1" s="709"/>
      <c r="F1" s="249"/>
      <c r="G1" s="250"/>
    </row>
    <row r="2" spans="1:7" s="223" customFormat="1" ht="12.75" x14ac:dyDescent="0.2">
      <c r="A2" s="558" t="s">
        <v>59</v>
      </c>
      <c r="B2" s="559" t="s">
        <v>60</v>
      </c>
      <c r="C2" s="560" t="s">
        <v>61</v>
      </c>
      <c r="D2" s="559" t="s">
        <v>62</v>
      </c>
      <c r="E2" s="564" t="s">
        <v>63</v>
      </c>
      <c r="F2" s="249"/>
      <c r="G2" s="250"/>
    </row>
    <row r="3" spans="1:7" s="256" customFormat="1" ht="60" x14ac:dyDescent="0.25">
      <c r="A3" s="251" t="s">
        <v>16</v>
      </c>
      <c r="B3" s="157" t="s">
        <v>1655</v>
      </c>
      <c r="C3" s="561" t="s">
        <v>3145</v>
      </c>
      <c r="D3" s="155" t="s">
        <v>56</v>
      </c>
      <c r="E3" s="562">
        <v>2</v>
      </c>
      <c r="F3" s="563">
        <f t="shared" ref="F3:F13" si="0">ROUND(E3,2)</f>
        <v>2</v>
      </c>
      <c r="G3" s="255"/>
    </row>
    <row r="4" spans="1:7" s="256" customFormat="1" ht="30" x14ac:dyDescent="0.25">
      <c r="A4" s="251" t="s">
        <v>1656</v>
      </c>
      <c r="B4" s="157" t="s">
        <v>1657</v>
      </c>
      <c r="C4" s="561" t="s">
        <v>3146</v>
      </c>
      <c r="D4" s="155" t="s">
        <v>273</v>
      </c>
      <c r="E4" s="562">
        <v>34.348000000000006</v>
      </c>
      <c r="F4" s="563">
        <f t="shared" si="0"/>
        <v>34.35</v>
      </c>
      <c r="G4" s="255"/>
    </row>
    <row r="5" spans="1:7" s="256" customFormat="1" x14ac:dyDescent="0.25">
      <c r="A5" s="251" t="s">
        <v>1658</v>
      </c>
      <c r="B5" s="157" t="s">
        <v>3147</v>
      </c>
      <c r="C5" s="561" t="s">
        <v>3148</v>
      </c>
      <c r="D5" s="155" t="s">
        <v>273</v>
      </c>
      <c r="E5" s="562">
        <v>30.913200000000007</v>
      </c>
      <c r="F5" s="563">
        <f t="shared" si="0"/>
        <v>30.91</v>
      </c>
      <c r="G5" s="255"/>
    </row>
    <row r="6" spans="1:7" s="256" customFormat="1" ht="15" customHeight="1" x14ac:dyDescent="0.25">
      <c r="A6" s="251" t="s">
        <v>1659</v>
      </c>
      <c r="B6" s="252" t="s">
        <v>1660</v>
      </c>
      <c r="C6" s="130" t="s">
        <v>3149</v>
      </c>
      <c r="D6" s="155" t="s">
        <v>106</v>
      </c>
      <c r="E6" s="562">
        <v>85.87</v>
      </c>
      <c r="F6" s="563">
        <f t="shared" si="0"/>
        <v>85.87</v>
      </c>
      <c r="G6" s="255"/>
    </row>
    <row r="7" spans="1:7" s="256" customFormat="1" ht="45" x14ac:dyDescent="0.25">
      <c r="A7" s="251" t="s">
        <v>1661</v>
      </c>
      <c r="B7" s="157" t="s">
        <v>3150</v>
      </c>
      <c r="C7" s="561" t="s">
        <v>3151</v>
      </c>
      <c r="D7" s="155" t="s">
        <v>75</v>
      </c>
      <c r="E7" s="562">
        <v>57.870000000000005</v>
      </c>
      <c r="F7" s="563">
        <f t="shared" si="0"/>
        <v>57.87</v>
      </c>
      <c r="G7" s="255"/>
    </row>
    <row r="8" spans="1:7" s="256" customFormat="1" ht="30" x14ac:dyDescent="0.25">
      <c r="A8" s="251" t="s">
        <v>1662</v>
      </c>
      <c r="B8" s="157" t="s">
        <v>3152</v>
      </c>
      <c r="C8" s="561" t="s">
        <v>3153</v>
      </c>
      <c r="D8" s="155" t="s">
        <v>75</v>
      </c>
      <c r="E8" s="562">
        <v>28</v>
      </c>
      <c r="F8" s="563">
        <f t="shared" si="0"/>
        <v>28</v>
      </c>
      <c r="G8" s="255"/>
    </row>
    <row r="9" spans="1:7" s="256" customFormat="1" x14ac:dyDescent="0.25">
      <c r="A9" s="251" t="s">
        <v>1663</v>
      </c>
      <c r="B9" s="157" t="s">
        <v>3154</v>
      </c>
      <c r="C9" s="130" t="s">
        <v>3155</v>
      </c>
      <c r="D9" s="155" t="s">
        <v>56</v>
      </c>
      <c r="E9" s="562">
        <v>8</v>
      </c>
      <c r="F9" s="563">
        <f t="shared" si="0"/>
        <v>8</v>
      </c>
      <c r="G9" s="255"/>
    </row>
    <row r="10" spans="1:7" s="256" customFormat="1" x14ac:dyDescent="0.25">
      <c r="A10" s="251" t="s">
        <v>1664</v>
      </c>
      <c r="B10" s="157" t="s">
        <v>3157</v>
      </c>
      <c r="C10" s="130" t="s">
        <v>3155</v>
      </c>
      <c r="D10" s="155" t="s">
        <v>56</v>
      </c>
      <c r="E10" s="562">
        <v>27</v>
      </c>
      <c r="F10" s="563">
        <f t="shared" si="0"/>
        <v>27</v>
      </c>
      <c r="G10" s="255"/>
    </row>
    <row r="11" spans="1:7" s="256" customFormat="1" x14ac:dyDescent="0.25">
      <c r="A11" s="251" t="s">
        <v>1665</v>
      </c>
      <c r="B11" s="157" t="s">
        <v>3156</v>
      </c>
      <c r="C11" s="130" t="s">
        <v>3155</v>
      </c>
      <c r="D11" s="155" t="s">
        <v>56</v>
      </c>
      <c r="E11" s="562">
        <v>3</v>
      </c>
      <c r="F11" s="563">
        <f t="shared" si="0"/>
        <v>3</v>
      </c>
      <c r="G11" s="255"/>
    </row>
    <row r="12" spans="1:7" s="256" customFormat="1" x14ac:dyDescent="0.25">
      <c r="A12" s="251" t="s">
        <v>1666</v>
      </c>
      <c r="B12" s="157" t="s">
        <v>3158</v>
      </c>
      <c r="C12" s="130" t="s">
        <v>3155</v>
      </c>
      <c r="D12" s="155" t="s">
        <v>56</v>
      </c>
      <c r="E12" s="562">
        <v>9</v>
      </c>
      <c r="F12" s="563">
        <f t="shared" si="0"/>
        <v>9</v>
      </c>
      <c r="G12" s="255"/>
    </row>
    <row r="13" spans="1:7" s="256" customFormat="1" ht="60" x14ac:dyDescent="0.25">
      <c r="A13" s="251" t="s">
        <v>1667</v>
      </c>
      <c r="B13" s="157" t="s">
        <v>2965</v>
      </c>
      <c r="C13" s="561" t="s">
        <v>3165</v>
      </c>
      <c r="D13" s="155" t="s">
        <v>961</v>
      </c>
      <c r="E13" s="562">
        <v>17</v>
      </c>
      <c r="F13" s="563">
        <f t="shared" si="0"/>
        <v>17</v>
      </c>
      <c r="G13" s="255"/>
    </row>
    <row r="14" spans="1:7" s="256" customFormat="1" hidden="1" x14ac:dyDescent="0.25">
      <c r="A14" s="555"/>
      <c r="B14" s="556"/>
      <c r="C14" s="556"/>
      <c r="D14" s="555"/>
      <c r="E14" s="557"/>
      <c r="F14" s="298"/>
      <c r="G14" s="255"/>
    </row>
    <row r="15" spans="1:7" s="256" customFormat="1" hidden="1" x14ac:dyDescent="0.25">
      <c r="A15" s="251"/>
      <c r="B15" s="253"/>
      <c r="C15" s="253"/>
      <c r="D15" s="251"/>
      <c r="E15" s="261"/>
      <c r="F15" s="298"/>
      <c r="G15" s="255"/>
    </row>
    <row r="16" spans="1:7" s="256" customFormat="1" ht="15" hidden="1" customHeight="1" x14ac:dyDescent="0.25">
      <c r="A16" s="251"/>
      <c r="B16" s="253"/>
      <c r="C16" s="253"/>
      <c r="D16" s="251"/>
      <c r="E16" s="261"/>
      <c r="F16" s="298"/>
      <c r="G16" s="255"/>
    </row>
    <row r="17" spans="1:7" s="256" customFormat="1" hidden="1" x14ac:dyDescent="0.25">
      <c r="A17" s="251"/>
      <c r="B17" s="451"/>
      <c r="C17" s="74"/>
      <c r="D17" s="40"/>
      <c r="E17" s="75"/>
      <c r="F17" s="298"/>
      <c r="G17" s="255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65582"/>
  <sheetViews>
    <sheetView workbookViewId="0">
      <selection activeCell="A3" sqref="A1:E1048576"/>
    </sheetView>
  </sheetViews>
  <sheetFormatPr defaultRowHeight="15" x14ac:dyDescent="0.25"/>
  <cols>
    <col min="1" max="1" width="6" style="42" bestFit="1" customWidth="1"/>
    <col min="2" max="2" width="28.140625" style="39" customWidth="1"/>
    <col min="3" max="3" width="26.7109375" style="39" customWidth="1"/>
    <col min="4" max="4" width="9.7109375" style="39" customWidth="1"/>
    <col min="5" max="5" width="9.5703125" style="39" bestFit="1" customWidth="1"/>
    <col min="6" max="6" width="10.7109375" style="56" customWidth="1"/>
  </cols>
  <sheetData>
    <row r="1" spans="1:6" ht="15" customHeight="1" x14ac:dyDescent="0.25">
      <c r="A1" s="711" t="s">
        <v>57</v>
      </c>
      <c r="B1" s="711"/>
      <c r="C1" s="711"/>
      <c r="D1" s="711"/>
      <c r="E1" s="711"/>
      <c r="F1" s="565"/>
    </row>
    <row r="2" spans="1:6" x14ac:dyDescent="0.25">
      <c r="A2" s="711" t="s">
        <v>58</v>
      </c>
      <c r="B2" s="711"/>
      <c r="C2" s="711"/>
      <c r="D2" s="711"/>
      <c r="E2" s="711"/>
      <c r="F2" s="565"/>
    </row>
    <row r="3" spans="1:6" x14ac:dyDescent="0.25">
      <c r="A3" s="90" t="s">
        <v>59</v>
      </c>
      <c r="B3" s="248"/>
      <c r="C3" s="248"/>
      <c r="D3" s="248"/>
      <c r="E3" s="248"/>
      <c r="F3" s="565"/>
    </row>
    <row r="4" spans="1:6" ht="38.25" x14ac:dyDescent="0.25">
      <c r="A4" s="90" t="s">
        <v>59</v>
      </c>
      <c r="B4" s="90" t="s">
        <v>60</v>
      </c>
      <c r="C4" s="248" t="s">
        <v>61</v>
      </c>
      <c r="D4" s="90" t="s">
        <v>62</v>
      </c>
      <c r="E4" s="90" t="s">
        <v>63</v>
      </c>
      <c r="F4" s="565" t="s">
        <v>149</v>
      </c>
    </row>
    <row r="5" spans="1:6" x14ac:dyDescent="0.25">
      <c r="A5" s="40" t="s">
        <v>16</v>
      </c>
      <c r="B5" s="451" t="s">
        <v>88</v>
      </c>
      <c r="C5" s="74"/>
      <c r="D5" s="40" t="s">
        <v>89</v>
      </c>
      <c r="E5" s="75">
        <v>10</v>
      </c>
      <c r="F5" s="452">
        <f>ROUND(E5,2)</f>
        <v>10</v>
      </c>
    </row>
    <row r="6" spans="1:6" x14ac:dyDescent="0.25">
      <c r="A6" s="90" t="s">
        <v>59</v>
      </c>
      <c r="B6" s="90" t="s">
        <v>60</v>
      </c>
      <c r="C6" s="248" t="s">
        <v>61</v>
      </c>
      <c r="D6" s="90" t="s">
        <v>62</v>
      </c>
      <c r="E6" s="90" t="s">
        <v>63</v>
      </c>
      <c r="F6" s="89"/>
    </row>
    <row r="7" spans="1:6" ht="51" x14ac:dyDescent="0.25">
      <c r="A7" s="40" t="s">
        <v>18</v>
      </c>
      <c r="B7" s="74" t="s">
        <v>68</v>
      </c>
      <c r="C7" s="74" t="s">
        <v>2967</v>
      </c>
      <c r="D7" s="68" t="s">
        <v>72</v>
      </c>
      <c r="E7" s="75">
        <f>5*2.5+((0.6*1.2))</f>
        <v>13.22</v>
      </c>
      <c r="F7" s="452">
        <f t="shared" ref="F7:F11" si="0">ROUND(E7,2)</f>
        <v>13.22</v>
      </c>
    </row>
    <row r="8" spans="1:6" ht="51" x14ac:dyDescent="0.25">
      <c r="A8" s="40" t="s">
        <v>19</v>
      </c>
      <c r="B8" s="74" t="s">
        <v>70</v>
      </c>
      <c r="C8" s="74" t="s">
        <v>251</v>
      </c>
      <c r="D8" s="68" t="s">
        <v>72</v>
      </c>
      <c r="E8" s="503">
        <v>17701.93</v>
      </c>
      <c r="F8" s="452">
        <f t="shared" si="0"/>
        <v>17701.93</v>
      </c>
    </row>
    <row r="9" spans="1:6" ht="127.5" x14ac:dyDescent="0.25">
      <c r="A9" s="40" t="s">
        <v>76</v>
      </c>
      <c r="B9" s="74" t="s">
        <v>73</v>
      </c>
      <c r="C9" s="74" t="s">
        <v>3098</v>
      </c>
      <c r="D9" s="68" t="s">
        <v>72</v>
      </c>
      <c r="E9" s="503">
        <f>2073.02+263.17+2423.4+1267.08</f>
        <v>6026.67</v>
      </c>
      <c r="F9" s="452">
        <f t="shared" si="0"/>
        <v>6026.67</v>
      </c>
    </row>
    <row r="10" spans="1:6" ht="63.75" x14ac:dyDescent="0.25">
      <c r="A10" s="40" t="s">
        <v>77</v>
      </c>
      <c r="B10" s="74" t="s">
        <v>2958</v>
      </c>
      <c r="C10" s="74" t="s">
        <v>210</v>
      </c>
      <c r="D10" s="68" t="s">
        <v>1566</v>
      </c>
      <c r="E10" s="75">
        <v>10</v>
      </c>
      <c r="F10" s="452">
        <f t="shared" si="0"/>
        <v>10</v>
      </c>
    </row>
    <row r="11" spans="1:6" ht="51" x14ac:dyDescent="0.25">
      <c r="A11" s="40" t="s">
        <v>82</v>
      </c>
      <c r="B11" s="74" t="s">
        <v>246</v>
      </c>
      <c r="C11" s="74" t="s">
        <v>210</v>
      </c>
      <c r="D11" s="68" t="s">
        <v>72</v>
      </c>
      <c r="E11" s="75">
        <v>21.8</v>
      </c>
      <c r="F11" s="452">
        <f t="shared" si="0"/>
        <v>21.8</v>
      </c>
    </row>
    <row r="12" spans="1:6" ht="63.75" x14ac:dyDescent="0.25">
      <c r="A12" s="40" t="s">
        <v>90</v>
      </c>
      <c r="B12" s="74" t="s">
        <v>247</v>
      </c>
      <c r="C12" s="74" t="s">
        <v>210</v>
      </c>
      <c r="D12" s="68" t="s">
        <v>72</v>
      </c>
      <c r="E12" s="75">
        <v>14.5</v>
      </c>
      <c r="F12" s="452">
        <f t="shared" ref="F12:F18" si="1">ROUND(E12,2)</f>
        <v>14.5</v>
      </c>
    </row>
    <row r="13" spans="1:6" ht="51" x14ac:dyDescent="0.25">
      <c r="A13" s="40" t="s">
        <v>91</v>
      </c>
      <c r="B13" s="74" t="s">
        <v>1565</v>
      </c>
      <c r="C13" s="74" t="s">
        <v>210</v>
      </c>
      <c r="D13" s="40" t="s">
        <v>89</v>
      </c>
      <c r="E13" s="75">
        <v>10</v>
      </c>
      <c r="F13" s="452">
        <f>ROUND(E13,2)</f>
        <v>10</v>
      </c>
    </row>
    <row r="14" spans="1:6" ht="63.75" x14ac:dyDescent="0.25">
      <c r="A14" s="40" t="s">
        <v>288</v>
      </c>
      <c r="B14" s="453" t="s">
        <v>949</v>
      </c>
      <c r="C14" s="74" t="s">
        <v>3099</v>
      </c>
      <c r="D14" s="68" t="s">
        <v>72</v>
      </c>
      <c r="E14" s="503">
        <f>501.46*2.2</f>
        <v>1103.212</v>
      </c>
      <c r="F14" s="452">
        <f t="shared" si="1"/>
        <v>1103.21</v>
      </c>
    </row>
    <row r="15" spans="1:6" ht="51" x14ac:dyDescent="0.25">
      <c r="A15" s="40" t="s">
        <v>248</v>
      </c>
      <c r="B15" s="74" t="s">
        <v>304</v>
      </c>
      <c r="C15" s="74" t="s">
        <v>303</v>
      </c>
      <c r="D15" s="68" t="s">
        <v>126</v>
      </c>
      <c r="E15" s="75">
        <v>24</v>
      </c>
      <c r="F15" s="452">
        <f t="shared" si="1"/>
        <v>24</v>
      </c>
    </row>
    <row r="16" spans="1:6" ht="51" x14ac:dyDescent="0.25">
      <c r="A16" s="40" t="s">
        <v>249</v>
      </c>
      <c r="B16" s="74" t="s">
        <v>2966</v>
      </c>
      <c r="C16" s="74" t="s">
        <v>303</v>
      </c>
      <c r="D16" s="68" t="s">
        <v>2696</v>
      </c>
      <c r="E16" s="75">
        <f>24*10</f>
        <v>240</v>
      </c>
      <c r="F16" s="452">
        <f t="shared" ref="F16" si="2">ROUND(E16,2)</f>
        <v>240</v>
      </c>
    </row>
    <row r="17" spans="1:7" ht="15.75" x14ac:dyDescent="0.25">
      <c r="A17" s="40" t="s">
        <v>250</v>
      </c>
      <c r="B17" s="454" t="s">
        <v>147</v>
      </c>
      <c r="C17" s="74"/>
      <c r="D17" s="68" t="s">
        <v>69</v>
      </c>
      <c r="E17" s="75">
        <v>1</v>
      </c>
      <c r="F17" s="452">
        <f t="shared" si="1"/>
        <v>1</v>
      </c>
    </row>
    <row r="18" spans="1:7" ht="15.75" x14ac:dyDescent="0.25">
      <c r="A18" s="40" t="s">
        <v>2190</v>
      </c>
      <c r="B18" s="454" t="s">
        <v>148</v>
      </c>
      <c r="C18" s="74"/>
      <c r="D18" s="68" t="s">
        <v>69</v>
      </c>
      <c r="E18" s="75">
        <v>1</v>
      </c>
      <c r="F18" s="452">
        <f t="shared" si="1"/>
        <v>1</v>
      </c>
    </row>
    <row r="19" spans="1:7" x14ac:dyDescent="0.25">
      <c r="A19" s="712" t="s">
        <v>93</v>
      </c>
      <c r="B19" s="712"/>
      <c r="C19" s="712"/>
      <c r="D19" s="712"/>
      <c r="E19" s="712"/>
      <c r="F19" s="89"/>
    </row>
    <row r="20" spans="1:7" x14ac:dyDescent="0.25">
      <c r="A20" s="710" t="s">
        <v>74</v>
      </c>
      <c r="B20" s="710"/>
      <c r="C20" s="710"/>
      <c r="D20" s="710"/>
      <c r="E20" s="710"/>
      <c r="F20" s="89"/>
    </row>
    <row r="21" spans="1:7" x14ac:dyDescent="0.25">
      <c r="A21" s="90" t="s">
        <v>59</v>
      </c>
      <c r="B21" s="90" t="s">
        <v>60</v>
      </c>
      <c r="C21" s="248" t="s">
        <v>61</v>
      </c>
      <c r="D21" s="90" t="s">
        <v>62</v>
      </c>
      <c r="E21" s="90" t="s">
        <v>63</v>
      </c>
      <c r="F21" s="89"/>
    </row>
    <row r="22" spans="1:7" ht="25.5" x14ac:dyDescent="0.25">
      <c r="A22" s="40" t="s">
        <v>21</v>
      </c>
      <c r="B22" s="451" t="s">
        <v>96</v>
      </c>
      <c r="C22" s="74" t="s">
        <v>2152</v>
      </c>
      <c r="D22" s="455" t="s">
        <v>72</v>
      </c>
      <c r="E22" s="75">
        <v>34.5</v>
      </c>
      <c r="F22" s="452">
        <f>ROUND(E22,2)</f>
        <v>34.5</v>
      </c>
    </row>
    <row r="23" spans="1:7" ht="51" x14ac:dyDescent="0.25">
      <c r="A23" s="40" t="s">
        <v>22</v>
      </c>
      <c r="B23" s="451" t="s">
        <v>265</v>
      </c>
      <c r="C23" s="74" t="s">
        <v>2153</v>
      </c>
      <c r="D23" s="456" t="s">
        <v>72</v>
      </c>
      <c r="E23" s="75">
        <f>1142.98+1291.42</f>
        <v>2434.4</v>
      </c>
      <c r="F23" s="452">
        <f>ROUND(E23,2)</f>
        <v>2434.4</v>
      </c>
    </row>
    <row r="24" spans="1:7" x14ac:dyDescent="0.25">
      <c r="A24" s="40" t="s">
        <v>1824</v>
      </c>
      <c r="B24" s="451" t="s">
        <v>3123</v>
      </c>
      <c r="C24" s="74" t="s">
        <v>3124</v>
      </c>
      <c r="D24" s="456" t="s">
        <v>106</v>
      </c>
      <c r="E24" s="75">
        <v>65.77</v>
      </c>
      <c r="F24" s="452">
        <f>ROUND(E24,2)</f>
        <v>65.77</v>
      </c>
    </row>
    <row r="25" spans="1:7" ht="51" x14ac:dyDescent="0.25">
      <c r="A25" s="40" t="s">
        <v>1827</v>
      </c>
      <c r="B25" s="451" t="s">
        <v>266</v>
      </c>
      <c r="C25" s="74" t="s">
        <v>2154</v>
      </c>
      <c r="D25" s="455" t="s">
        <v>75</v>
      </c>
      <c r="E25" s="75">
        <v>13.8</v>
      </c>
      <c r="F25" s="452">
        <f>ROUND(E25,2)</f>
        <v>13.8</v>
      </c>
    </row>
    <row r="26" spans="1:7" ht="38.25" x14ac:dyDescent="0.25">
      <c r="A26" s="40" t="s">
        <v>1830</v>
      </c>
      <c r="B26" s="451" t="s">
        <v>267</v>
      </c>
      <c r="C26" s="74" t="s">
        <v>2155</v>
      </c>
      <c r="D26" s="456" t="s">
        <v>75</v>
      </c>
      <c r="E26" s="75">
        <v>17.8</v>
      </c>
      <c r="F26" s="452">
        <f>ROUND(E26,2)</f>
        <v>17.8</v>
      </c>
    </row>
    <row r="27" spans="1:7" x14ac:dyDescent="0.25">
      <c r="A27" s="710" t="s">
        <v>78</v>
      </c>
      <c r="B27" s="710"/>
      <c r="C27" s="710"/>
      <c r="D27" s="710"/>
      <c r="E27" s="710"/>
      <c r="F27" s="89"/>
    </row>
    <row r="28" spans="1:7" x14ac:dyDescent="0.25">
      <c r="A28" s="90" t="s">
        <v>59</v>
      </c>
      <c r="B28" s="90" t="s">
        <v>60</v>
      </c>
      <c r="C28" s="248" t="s">
        <v>61</v>
      </c>
      <c r="D28" s="90" t="s">
        <v>62</v>
      </c>
      <c r="E28" s="90" t="s">
        <v>63</v>
      </c>
      <c r="F28" s="89"/>
    </row>
    <row r="29" spans="1:7" ht="15.75" x14ac:dyDescent="0.25">
      <c r="A29" s="40" t="s">
        <v>24</v>
      </c>
      <c r="B29" s="451" t="s">
        <v>759</v>
      </c>
      <c r="C29" s="74" t="s">
        <v>2193</v>
      </c>
      <c r="D29" s="68" t="s">
        <v>72</v>
      </c>
      <c r="E29" s="457">
        <f>8*0.8*1.7</f>
        <v>10.88</v>
      </c>
      <c r="F29" s="452">
        <f t="shared" ref="F29:F43" si="3">ROUND(E29,2)</f>
        <v>10.88</v>
      </c>
      <c r="G29" s="458"/>
    </row>
    <row r="30" spans="1:7" ht="38.25" x14ac:dyDescent="0.25">
      <c r="A30" s="40" t="s">
        <v>25</v>
      </c>
      <c r="B30" s="451" t="s">
        <v>758</v>
      </c>
      <c r="C30" s="74" t="s">
        <v>2156</v>
      </c>
      <c r="D30" s="68" t="s">
        <v>542</v>
      </c>
      <c r="E30" s="457">
        <v>4</v>
      </c>
      <c r="F30" s="452">
        <f t="shared" si="3"/>
        <v>4</v>
      </c>
      <c r="G30" s="458"/>
    </row>
    <row r="31" spans="1:7" ht="51" x14ac:dyDescent="0.25">
      <c r="A31" s="40" t="s">
        <v>26</v>
      </c>
      <c r="B31" s="451" t="s">
        <v>762</v>
      </c>
      <c r="C31" s="74" t="s">
        <v>2157</v>
      </c>
      <c r="D31" s="68" t="s">
        <v>542</v>
      </c>
      <c r="E31" s="457">
        <v>21</v>
      </c>
      <c r="F31" s="452">
        <f t="shared" si="3"/>
        <v>21</v>
      </c>
      <c r="G31" s="458"/>
    </row>
    <row r="32" spans="1:7" ht="15.75" x14ac:dyDescent="0.25">
      <c r="A32" s="40" t="s">
        <v>27</v>
      </c>
      <c r="B32" s="451" t="s">
        <v>760</v>
      </c>
      <c r="C32" s="74" t="s">
        <v>763</v>
      </c>
      <c r="D32" s="68" t="s">
        <v>542</v>
      </c>
      <c r="E32" s="457">
        <v>2</v>
      </c>
      <c r="F32" s="452">
        <f t="shared" si="3"/>
        <v>2</v>
      </c>
      <c r="G32" s="458"/>
    </row>
    <row r="33" spans="1:7" ht="15.75" x14ac:dyDescent="0.25">
      <c r="A33" s="40" t="s">
        <v>28</v>
      </c>
      <c r="B33" s="451" t="s">
        <v>764</v>
      </c>
      <c r="C33" s="74" t="s">
        <v>765</v>
      </c>
      <c r="D33" s="68" t="s">
        <v>542</v>
      </c>
      <c r="E33" s="457">
        <v>1</v>
      </c>
      <c r="F33" s="452">
        <f t="shared" si="3"/>
        <v>1</v>
      </c>
      <c r="G33" s="458"/>
    </row>
    <row r="34" spans="1:7" ht="15.75" x14ac:dyDescent="0.25">
      <c r="A34" s="40" t="s">
        <v>50</v>
      </c>
      <c r="B34" s="451" t="s">
        <v>766</v>
      </c>
      <c r="C34" s="459" t="s">
        <v>767</v>
      </c>
      <c r="D34" s="68" t="s">
        <v>542</v>
      </c>
      <c r="E34" s="457">
        <v>1</v>
      </c>
      <c r="F34" s="452">
        <f t="shared" si="3"/>
        <v>1</v>
      </c>
      <c r="G34" s="458"/>
    </row>
    <row r="35" spans="1:7" ht="25.5" x14ac:dyDescent="0.25">
      <c r="A35" s="40" t="s">
        <v>51</v>
      </c>
      <c r="B35" s="451" t="s">
        <v>2158</v>
      </c>
      <c r="C35" s="74" t="s">
        <v>2159</v>
      </c>
      <c r="D35" s="68" t="s">
        <v>542</v>
      </c>
      <c r="E35" s="457">
        <v>6</v>
      </c>
      <c r="F35" s="452">
        <f t="shared" si="3"/>
        <v>6</v>
      </c>
      <c r="G35" s="458"/>
    </row>
    <row r="36" spans="1:7" ht="63.75" x14ac:dyDescent="0.25">
      <c r="A36" s="40" t="s">
        <v>52</v>
      </c>
      <c r="B36" s="451" t="s">
        <v>2160</v>
      </c>
      <c r="C36" s="74" t="s">
        <v>768</v>
      </c>
      <c r="D36" s="68" t="s">
        <v>542</v>
      </c>
      <c r="E36" s="457">
        <v>26</v>
      </c>
      <c r="F36" s="452">
        <f t="shared" si="3"/>
        <v>26</v>
      </c>
      <c r="G36" s="458">
        <f>F36*3*0.6</f>
        <v>46.8</v>
      </c>
    </row>
    <row r="37" spans="1:7" ht="15.75" x14ac:dyDescent="0.25">
      <c r="A37" s="40" t="s">
        <v>53</v>
      </c>
      <c r="B37" s="451" t="s">
        <v>2161</v>
      </c>
      <c r="C37" s="74" t="s">
        <v>761</v>
      </c>
      <c r="D37" s="68" t="s">
        <v>542</v>
      </c>
      <c r="E37" s="457">
        <v>2</v>
      </c>
      <c r="F37" s="452">
        <f>ROUND(E37,2)</f>
        <v>2</v>
      </c>
      <c r="G37" s="458">
        <f>F37*3*0.8</f>
        <v>4.8000000000000007</v>
      </c>
    </row>
    <row r="38" spans="1:7" ht="63.75" x14ac:dyDescent="0.25">
      <c r="A38" s="40" t="s">
        <v>54</v>
      </c>
      <c r="B38" s="451" t="s">
        <v>2162</v>
      </c>
      <c r="C38" s="74" t="s">
        <v>769</v>
      </c>
      <c r="D38" s="68" t="s">
        <v>542</v>
      </c>
      <c r="E38" s="457">
        <v>46</v>
      </c>
      <c r="F38" s="452">
        <f>ROUND(E38,2)</f>
        <v>46</v>
      </c>
      <c r="G38" s="458">
        <f>F38*1.2*2.4</f>
        <v>132.47999999999999</v>
      </c>
    </row>
    <row r="39" spans="1:7" ht="15.75" x14ac:dyDescent="0.25">
      <c r="A39" s="40" t="s">
        <v>526</v>
      </c>
      <c r="B39" s="451" t="s">
        <v>2163</v>
      </c>
      <c r="C39" s="74" t="s">
        <v>763</v>
      </c>
      <c r="D39" s="68" t="s">
        <v>542</v>
      </c>
      <c r="E39" s="457">
        <v>4</v>
      </c>
      <c r="F39" s="452">
        <f>ROUND(E39,2)</f>
        <v>4</v>
      </c>
      <c r="G39" s="458">
        <f>F39*0.4*0.4</f>
        <v>0.64000000000000012</v>
      </c>
    </row>
    <row r="40" spans="1:7" ht="15.75" x14ac:dyDescent="0.25">
      <c r="A40" s="40" t="s">
        <v>527</v>
      </c>
      <c r="B40" s="451" t="s">
        <v>2164</v>
      </c>
      <c r="C40" s="74" t="s">
        <v>770</v>
      </c>
      <c r="D40" s="68" t="s">
        <v>542</v>
      </c>
      <c r="E40" s="457">
        <v>1</v>
      </c>
      <c r="F40" s="452">
        <f>ROUND(E40,2)</f>
        <v>1</v>
      </c>
      <c r="G40" s="458">
        <f>F40*2*0.8</f>
        <v>1.6</v>
      </c>
    </row>
    <row r="41" spans="1:7" ht="25.5" x14ac:dyDescent="0.25">
      <c r="A41" s="40" t="s">
        <v>528</v>
      </c>
      <c r="B41" s="451" t="s">
        <v>920</v>
      </c>
      <c r="C41" s="74" t="s">
        <v>921</v>
      </c>
      <c r="D41" s="68" t="s">
        <v>106</v>
      </c>
      <c r="E41" s="457">
        <v>37.42</v>
      </c>
      <c r="F41" s="452">
        <f t="shared" si="3"/>
        <v>37.42</v>
      </c>
      <c r="G41" s="458"/>
    </row>
    <row r="42" spans="1:7" ht="25.5" x14ac:dyDescent="0.25">
      <c r="A42" s="40" t="s">
        <v>529</v>
      </c>
      <c r="B42" s="451" t="s">
        <v>922</v>
      </c>
      <c r="C42" s="74" t="s">
        <v>923</v>
      </c>
      <c r="D42" s="68" t="s">
        <v>106</v>
      </c>
      <c r="E42" s="457">
        <v>19.25</v>
      </c>
      <c r="F42" s="452">
        <f t="shared" si="3"/>
        <v>19.25</v>
      </c>
      <c r="G42" s="458"/>
    </row>
    <row r="43" spans="1:7" s="41" customFormat="1" ht="113.25" customHeight="1" x14ac:dyDescent="0.2">
      <c r="A43" s="40" t="s">
        <v>530</v>
      </c>
      <c r="B43" s="451" t="s">
        <v>300</v>
      </c>
      <c r="C43" s="74" t="s">
        <v>2960</v>
      </c>
      <c r="D43" s="460" t="s">
        <v>72</v>
      </c>
      <c r="E43" s="75">
        <f>15.02+79.38+7.56+20.16</f>
        <v>122.11999999999999</v>
      </c>
      <c r="F43" s="452">
        <f t="shared" si="3"/>
        <v>122.12</v>
      </c>
      <c r="G43" s="38"/>
    </row>
    <row r="44" spans="1:7" x14ac:dyDescent="0.25">
      <c r="A44" s="710" t="s">
        <v>2165</v>
      </c>
      <c r="B44" s="710"/>
      <c r="C44" s="710"/>
      <c r="D44" s="710"/>
      <c r="E44" s="710"/>
      <c r="F44" s="89"/>
    </row>
    <row r="45" spans="1:7" x14ac:dyDescent="0.25">
      <c r="A45" s="90" t="s">
        <v>59</v>
      </c>
      <c r="B45" s="90" t="s">
        <v>60</v>
      </c>
      <c r="C45" s="248" t="s">
        <v>61</v>
      </c>
      <c r="D45" s="90" t="s">
        <v>62</v>
      </c>
      <c r="E45" s="90" t="s">
        <v>63</v>
      </c>
      <c r="F45" s="89"/>
    </row>
    <row r="46" spans="1:7" ht="25.5" x14ac:dyDescent="0.25">
      <c r="A46" s="40" t="s">
        <v>30</v>
      </c>
      <c r="B46" s="453" t="s">
        <v>749</v>
      </c>
      <c r="C46" s="453" t="s">
        <v>750</v>
      </c>
      <c r="D46" s="40" t="s">
        <v>75</v>
      </c>
      <c r="E46" s="40">
        <v>42.3</v>
      </c>
      <c r="F46" s="452"/>
    </row>
    <row r="47" spans="1:7" ht="25.5" x14ac:dyDescent="0.25">
      <c r="A47" s="40" t="s">
        <v>31</v>
      </c>
      <c r="B47" s="451" t="s">
        <v>751</v>
      </c>
      <c r="C47" s="453" t="s">
        <v>752</v>
      </c>
      <c r="D47" s="40" t="s">
        <v>75</v>
      </c>
      <c r="E47" s="40">
        <v>177</v>
      </c>
      <c r="F47" s="452"/>
    </row>
    <row r="48" spans="1:7" x14ac:dyDescent="0.25">
      <c r="A48" s="40" t="s">
        <v>83</v>
      </c>
      <c r="B48" s="451" t="s">
        <v>753</v>
      </c>
      <c r="C48" s="453">
        <v>1.4</v>
      </c>
      <c r="D48" s="40" t="s">
        <v>75</v>
      </c>
      <c r="E48" s="40">
        <v>3.2</v>
      </c>
      <c r="F48" s="452"/>
    </row>
    <row r="49" spans="1:6" x14ac:dyDescent="0.25">
      <c r="A49" s="40" t="s">
        <v>84</v>
      </c>
      <c r="B49" s="451" t="s">
        <v>754</v>
      </c>
      <c r="C49" s="74" t="s">
        <v>755</v>
      </c>
      <c r="D49" s="460" t="s">
        <v>756</v>
      </c>
      <c r="E49" s="75">
        <v>177</v>
      </c>
      <c r="F49" s="452"/>
    </row>
    <row r="50" spans="1:6" x14ac:dyDescent="0.25">
      <c r="A50" s="40" t="s">
        <v>85</v>
      </c>
      <c r="B50" s="451" t="s">
        <v>757</v>
      </c>
      <c r="C50" s="453">
        <v>2.8</v>
      </c>
      <c r="D50" s="460" t="s">
        <v>756</v>
      </c>
      <c r="E50" s="75">
        <v>3.2</v>
      </c>
      <c r="F50" s="452"/>
    </row>
    <row r="51" spans="1:6" x14ac:dyDescent="0.25">
      <c r="A51" s="710" t="s">
        <v>93</v>
      </c>
      <c r="B51" s="710"/>
      <c r="C51" s="710"/>
      <c r="D51" s="710"/>
      <c r="E51" s="710"/>
      <c r="F51" s="89"/>
    </row>
    <row r="52" spans="1:6" x14ac:dyDescent="0.25">
      <c r="A52" s="90" t="s">
        <v>59</v>
      </c>
      <c r="B52" s="90" t="s">
        <v>60</v>
      </c>
      <c r="C52" s="248" t="s">
        <v>61</v>
      </c>
      <c r="D52" s="90" t="s">
        <v>62</v>
      </c>
      <c r="E52" s="90" t="s">
        <v>63</v>
      </c>
      <c r="F52" s="89"/>
    </row>
    <row r="53" spans="1:6" ht="76.5" x14ac:dyDescent="0.25">
      <c r="A53" s="40" t="s">
        <v>33</v>
      </c>
      <c r="B53" s="451" t="s">
        <v>305</v>
      </c>
      <c r="C53" s="74" t="s">
        <v>3100</v>
      </c>
      <c r="D53" s="40" t="s">
        <v>106</v>
      </c>
      <c r="E53" s="75">
        <v>3060.5800000000004</v>
      </c>
      <c r="F53" s="452">
        <f>ROUND(E53,2)</f>
        <v>3060.58</v>
      </c>
    </row>
    <row r="54" spans="1:6" x14ac:dyDescent="0.25">
      <c r="A54" s="710" t="s">
        <v>107</v>
      </c>
      <c r="B54" s="710"/>
      <c r="C54" s="710"/>
      <c r="D54" s="710"/>
      <c r="E54" s="710"/>
      <c r="F54" s="89"/>
    </row>
    <row r="55" spans="1:6" x14ac:dyDescent="0.25">
      <c r="A55" s="90" t="s">
        <v>59</v>
      </c>
      <c r="B55" s="90" t="s">
        <v>60</v>
      </c>
      <c r="C55" s="248" t="s">
        <v>61</v>
      </c>
      <c r="D55" s="90" t="s">
        <v>62</v>
      </c>
      <c r="E55" s="90" t="s">
        <v>63</v>
      </c>
      <c r="F55" s="89"/>
    </row>
    <row r="56" spans="1:6" ht="141.75" x14ac:dyDescent="0.25">
      <c r="A56" s="504" t="s">
        <v>94</v>
      </c>
      <c r="B56" s="505" t="s">
        <v>109</v>
      </c>
      <c r="C56" s="506" t="s">
        <v>3101</v>
      </c>
      <c r="D56" s="504" t="s">
        <v>106</v>
      </c>
      <c r="E56" s="503">
        <f>4574.37+17.6+327.8</f>
        <v>4919.7700000000004</v>
      </c>
      <c r="F56" s="452">
        <f t="shared" ref="F56:F60" si="4">ROUND(E56,2)</f>
        <v>4919.7700000000004</v>
      </c>
    </row>
    <row r="57" spans="1:6" ht="31.5" x14ac:dyDescent="0.25">
      <c r="A57" s="504" t="s">
        <v>95</v>
      </c>
      <c r="B57" s="505" t="s">
        <v>2166</v>
      </c>
      <c r="C57" s="506" t="s">
        <v>3102</v>
      </c>
      <c r="D57" s="504" t="s">
        <v>106</v>
      </c>
      <c r="E57" s="503">
        <f>E56</f>
        <v>4919.7700000000004</v>
      </c>
      <c r="F57" s="452">
        <f t="shared" si="4"/>
        <v>4919.7700000000004</v>
      </c>
    </row>
    <row r="58" spans="1:6" x14ac:dyDescent="0.25">
      <c r="A58" s="40" t="s">
        <v>97</v>
      </c>
      <c r="B58" s="451" t="s">
        <v>2167</v>
      </c>
      <c r="C58" s="74" t="s">
        <v>2168</v>
      </c>
      <c r="D58" s="40" t="s">
        <v>106</v>
      </c>
      <c r="E58" s="75">
        <v>1717</v>
      </c>
      <c r="F58" s="452"/>
    </row>
    <row r="59" spans="1:6" x14ac:dyDescent="0.25">
      <c r="A59" s="40" t="s">
        <v>98</v>
      </c>
      <c r="B59" s="451" t="s">
        <v>2169</v>
      </c>
      <c r="C59" s="74" t="s">
        <v>2168</v>
      </c>
      <c r="D59" s="40" t="s">
        <v>106</v>
      </c>
      <c r="E59" s="75">
        <v>1717</v>
      </c>
      <c r="F59" s="452"/>
    </row>
    <row r="60" spans="1:6" ht="26.25" x14ac:dyDescent="0.25">
      <c r="A60" s="40" t="s">
        <v>125</v>
      </c>
      <c r="B60" s="41" t="s">
        <v>2170</v>
      </c>
      <c r="C60" s="461" t="s">
        <v>2171</v>
      </c>
      <c r="D60" s="40" t="s">
        <v>106</v>
      </c>
      <c r="E60" s="75">
        <v>220.72</v>
      </c>
      <c r="F60" s="452">
        <f t="shared" si="4"/>
        <v>220.72</v>
      </c>
    </row>
    <row r="61" spans="1:6" ht="90" x14ac:dyDescent="0.25">
      <c r="A61" s="40" t="s">
        <v>2964</v>
      </c>
      <c r="B61" s="41" t="s">
        <v>2172</v>
      </c>
      <c r="C61" s="461" t="s">
        <v>2173</v>
      </c>
      <c r="D61" s="40" t="s">
        <v>106</v>
      </c>
      <c r="E61" s="75">
        <v>991.42</v>
      </c>
      <c r="F61" s="452"/>
    </row>
    <row r="62" spans="1:6" ht="51.75" x14ac:dyDescent="0.25">
      <c r="A62" s="40" t="s">
        <v>262</v>
      </c>
      <c r="B62" s="41" t="s">
        <v>2174</v>
      </c>
      <c r="C62" s="461" t="s">
        <v>2175</v>
      </c>
      <c r="D62" s="40" t="s">
        <v>106</v>
      </c>
      <c r="E62" s="75">
        <v>142.91999999999999</v>
      </c>
      <c r="F62" s="452"/>
    </row>
    <row r="63" spans="1:6" ht="39" x14ac:dyDescent="0.25">
      <c r="A63" s="40" t="s">
        <v>263</v>
      </c>
      <c r="B63" s="41" t="s">
        <v>2176</v>
      </c>
      <c r="C63" s="461" t="s">
        <v>2177</v>
      </c>
      <c r="D63" s="40" t="s">
        <v>106</v>
      </c>
      <c r="E63" s="75">
        <v>353.24</v>
      </c>
      <c r="F63" s="452"/>
    </row>
    <row r="64" spans="1:6" ht="157.5" x14ac:dyDescent="0.25">
      <c r="A64" s="504" t="s">
        <v>3103</v>
      </c>
      <c r="B64" s="505" t="s">
        <v>297</v>
      </c>
      <c r="C64" s="507" t="s">
        <v>3104</v>
      </c>
      <c r="D64" s="508" t="s">
        <v>106</v>
      </c>
      <c r="E64" s="503">
        <f>230.54+110.56+180.29+4.64</f>
        <v>526.03</v>
      </c>
      <c r="F64" s="452">
        <f>ROUND(E64,2)</f>
        <v>526.03</v>
      </c>
    </row>
    <row r="65" spans="1:7" x14ac:dyDescent="0.25">
      <c r="A65" s="712" t="s">
        <v>11</v>
      </c>
      <c r="B65" s="712"/>
      <c r="C65" s="712"/>
      <c r="D65" s="712"/>
      <c r="E65" s="712"/>
      <c r="F65" s="89"/>
    </row>
    <row r="66" spans="1:7" x14ac:dyDescent="0.25">
      <c r="A66" s="90" t="s">
        <v>59</v>
      </c>
      <c r="B66" s="90" t="s">
        <v>60</v>
      </c>
      <c r="C66" s="248" t="s">
        <v>61</v>
      </c>
      <c r="D66" s="90" t="s">
        <v>62</v>
      </c>
      <c r="E66" s="90" t="s">
        <v>63</v>
      </c>
      <c r="F66" s="89"/>
    </row>
    <row r="67" spans="1:7" ht="38.25" x14ac:dyDescent="0.25">
      <c r="A67" s="40" t="s">
        <v>100</v>
      </c>
      <c r="B67" s="451" t="s">
        <v>113</v>
      </c>
      <c r="C67" s="74" t="s">
        <v>2178</v>
      </c>
      <c r="D67" s="40" t="s">
        <v>106</v>
      </c>
      <c r="E67" s="75">
        <v>1976.65</v>
      </c>
      <c r="F67" s="452">
        <f t="shared" ref="F67:F74" si="5">ROUND(E67,2)</f>
        <v>1976.65</v>
      </c>
    </row>
    <row r="68" spans="1:7" ht="25.5" x14ac:dyDescent="0.25">
      <c r="A68" s="40" t="s">
        <v>101</v>
      </c>
      <c r="B68" s="451" t="s">
        <v>345</v>
      </c>
      <c r="C68" s="74" t="s">
        <v>2179</v>
      </c>
      <c r="D68" s="40" t="s">
        <v>75</v>
      </c>
      <c r="E68" s="75">
        <v>31.1</v>
      </c>
      <c r="F68" s="452">
        <f t="shared" si="5"/>
        <v>31.1</v>
      </c>
    </row>
    <row r="69" spans="1:7" ht="267.75" x14ac:dyDescent="0.25">
      <c r="A69" s="40" t="s">
        <v>102</v>
      </c>
      <c r="B69" s="505" t="s">
        <v>1897</v>
      </c>
      <c r="C69" s="506" t="s">
        <v>3105</v>
      </c>
      <c r="D69" s="504" t="s">
        <v>10</v>
      </c>
      <c r="E69" s="515">
        <f>263.18+46.65+15.9+29.85+32.78+165.21+104.87</f>
        <v>658.44</v>
      </c>
      <c r="F69" s="452">
        <f t="shared" si="5"/>
        <v>658.44</v>
      </c>
    </row>
    <row r="70" spans="1:7" s="519" customFormat="1" ht="31.5" x14ac:dyDescent="0.25">
      <c r="A70" s="40" t="s">
        <v>103</v>
      </c>
      <c r="B70" s="507" t="s">
        <v>3135</v>
      </c>
      <c r="C70" s="507" t="s">
        <v>3136</v>
      </c>
      <c r="D70" s="507" t="s">
        <v>106</v>
      </c>
      <c r="E70" s="520">
        <f>122.84+1267.08</f>
        <v>1389.9199999999998</v>
      </c>
      <c r="F70" s="507">
        <f t="shared" si="5"/>
        <v>1389.92</v>
      </c>
      <c r="G70" s="518" t="s">
        <v>64</v>
      </c>
    </row>
    <row r="71" spans="1:7" ht="63" x14ac:dyDescent="0.25">
      <c r="A71" s="40" t="s">
        <v>104</v>
      </c>
      <c r="B71" s="505" t="s">
        <v>252</v>
      </c>
      <c r="C71" s="506" t="s">
        <v>3106</v>
      </c>
      <c r="D71" s="504" t="s">
        <v>75</v>
      </c>
      <c r="E71" s="503">
        <f>478.75+492.17</f>
        <v>970.92000000000007</v>
      </c>
      <c r="F71" s="75">
        <f t="shared" si="5"/>
        <v>970.92</v>
      </c>
      <c r="G71" s="514"/>
    </row>
    <row r="72" spans="1:7" ht="31.5" x14ac:dyDescent="0.25">
      <c r="A72" s="40" t="s">
        <v>105</v>
      </c>
      <c r="B72" s="505" t="s">
        <v>253</v>
      </c>
      <c r="C72" s="506" t="s">
        <v>3107</v>
      </c>
      <c r="D72" s="504" t="s">
        <v>75</v>
      </c>
      <c r="E72" s="503">
        <f>19.92</f>
        <v>19.920000000000002</v>
      </c>
      <c r="F72" s="75">
        <f t="shared" si="5"/>
        <v>19.920000000000002</v>
      </c>
    </row>
    <row r="73" spans="1:7" s="519" customFormat="1" ht="31.5" x14ac:dyDescent="0.25">
      <c r="A73" s="40" t="s">
        <v>2194</v>
      </c>
      <c r="B73" s="505" t="s">
        <v>3137</v>
      </c>
      <c r="C73" s="506" t="s">
        <v>3138</v>
      </c>
      <c r="D73" s="504" t="s">
        <v>106</v>
      </c>
      <c r="E73" s="503">
        <v>62.55</v>
      </c>
      <c r="F73" s="512">
        <f t="shared" si="5"/>
        <v>62.55</v>
      </c>
      <c r="G73" s="518" t="s">
        <v>64</v>
      </c>
    </row>
    <row r="74" spans="1:7" ht="31.5" x14ac:dyDescent="0.25">
      <c r="A74" s="40" t="s">
        <v>2195</v>
      </c>
      <c r="B74" s="505" t="s">
        <v>255</v>
      </c>
      <c r="C74" s="506" t="s">
        <v>3108</v>
      </c>
      <c r="D74" s="504" t="s">
        <v>106</v>
      </c>
      <c r="E74" s="503">
        <v>1335.8700000000001</v>
      </c>
      <c r="F74" s="452">
        <f t="shared" si="5"/>
        <v>1335.87</v>
      </c>
    </row>
    <row r="75" spans="1:7" x14ac:dyDescent="0.25">
      <c r="A75" s="710" t="s">
        <v>12</v>
      </c>
      <c r="B75" s="710"/>
      <c r="C75" s="710"/>
      <c r="D75" s="710"/>
      <c r="E75" s="710"/>
      <c r="F75" s="89"/>
    </row>
    <row r="76" spans="1:7" x14ac:dyDescent="0.25">
      <c r="A76" s="90" t="s">
        <v>59</v>
      </c>
      <c r="B76" s="90" t="s">
        <v>60</v>
      </c>
      <c r="C76" s="248" t="s">
        <v>61</v>
      </c>
      <c r="D76" s="90" t="s">
        <v>62</v>
      </c>
      <c r="E76" s="90" t="s">
        <v>63</v>
      </c>
      <c r="F76" s="89"/>
    </row>
    <row r="77" spans="1:7" ht="51" x14ac:dyDescent="0.25">
      <c r="A77" s="40" t="s">
        <v>108</v>
      </c>
      <c r="B77" s="451" t="s">
        <v>294</v>
      </c>
      <c r="C77" s="74" t="s">
        <v>2180</v>
      </c>
      <c r="D77" s="462" t="s">
        <v>72</v>
      </c>
      <c r="E77" s="454">
        <v>1916.87</v>
      </c>
      <c r="F77" s="452">
        <f t="shared" ref="F77:F84" si="6">ROUND(E77,2)</f>
        <v>1916.87</v>
      </c>
    </row>
    <row r="78" spans="1:7" ht="51" x14ac:dyDescent="0.25">
      <c r="A78" s="40" t="s">
        <v>110</v>
      </c>
      <c r="B78" s="451" t="s">
        <v>295</v>
      </c>
      <c r="C78" s="74" t="s">
        <v>2180</v>
      </c>
      <c r="D78" s="462" t="s">
        <v>72</v>
      </c>
      <c r="E78" s="454">
        <v>1916.87</v>
      </c>
      <c r="F78" s="452">
        <f>ROUND(E78,2)</f>
        <v>1916.87</v>
      </c>
    </row>
    <row r="79" spans="1:7" x14ac:dyDescent="0.25">
      <c r="A79" s="40" t="s">
        <v>111</v>
      </c>
      <c r="B79" s="451" t="s">
        <v>2181</v>
      </c>
      <c r="C79" s="74" t="s">
        <v>2168</v>
      </c>
      <c r="D79" s="462" t="s">
        <v>106</v>
      </c>
      <c r="E79" s="75">
        <f>E58</f>
        <v>1717</v>
      </c>
      <c r="F79" s="452"/>
    </row>
    <row r="80" spans="1:7" x14ac:dyDescent="0.25">
      <c r="A80" s="40" t="s">
        <v>127</v>
      </c>
      <c r="B80" s="451" t="s">
        <v>2182</v>
      </c>
      <c r="C80" s="74" t="s">
        <v>2168</v>
      </c>
      <c r="D80" s="462" t="s">
        <v>106</v>
      </c>
      <c r="E80" s="75">
        <f>E59</f>
        <v>1717</v>
      </c>
      <c r="F80" s="452"/>
    </row>
    <row r="81" spans="1:6" ht="110.25" x14ac:dyDescent="0.25">
      <c r="A81" s="504" t="s">
        <v>128</v>
      </c>
      <c r="B81" s="505" t="s">
        <v>3109</v>
      </c>
      <c r="C81" s="506" t="s">
        <v>3110</v>
      </c>
      <c r="D81" s="513" t="s">
        <v>106</v>
      </c>
      <c r="E81" s="503">
        <f>987.14+17.6</f>
        <v>1004.74</v>
      </c>
      <c r="F81" s="75">
        <f>ROUND(E81,2)</f>
        <v>1004.74</v>
      </c>
    </row>
    <row r="82" spans="1:6" ht="157.5" x14ac:dyDescent="0.25">
      <c r="A82" s="504" t="s">
        <v>978</v>
      </c>
      <c r="B82" s="505" t="s">
        <v>296</v>
      </c>
      <c r="C82" s="506" t="s">
        <v>3111</v>
      </c>
      <c r="D82" s="513" t="s">
        <v>72</v>
      </c>
      <c r="E82" s="503">
        <f>987.14+163.9+17.6</f>
        <v>1168.6399999999999</v>
      </c>
      <c r="F82" s="75">
        <f>ROUND(E82,2)</f>
        <v>1168.6400000000001</v>
      </c>
    </row>
    <row r="83" spans="1:6" ht="25.5" x14ac:dyDescent="0.25">
      <c r="A83" s="40" t="s">
        <v>978</v>
      </c>
      <c r="B83" s="451" t="s">
        <v>2183</v>
      </c>
      <c r="C83" s="74" t="s">
        <v>2184</v>
      </c>
      <c r="D83" s="462" t="s">
        <v>72</v>
      </c>
      <c r="E83" s="454">
        <v>140.72</v>
      </c>
      <c r="F83" s="452">
        <f t="shared" si="6"/>
        <v>140.72</v>
      </c>
    </row>
    <row r="84" spans="1:6" ht="25.5" x14ac:dyDescent="0.25">
      <c r="A84" s="40" t="s">
        <v>1873</v>
      </c>
      <c r="B84" s="451" t="s">
        <v>3112</v>
      </c>
      <c r="C84" s="74" t="s">
        <v>3092</v>
      </c>
      <c r="D84" s="462" t="s">
        <v>69</v>
      </c>
      <c r="E84" s="75">
        <v>1</v>
      </c>
      <c r="F84" s="452">
        <f t="shared" si="6"/>
        <v>1</v>
      </c>
    </row>
    <row r="85" spans="1:6" x14ac:dyDescent="0.25">
      <c r="A85" s="712" t="s">
        <v>2185</v>
      </c>
      <c r="B85" s="712"/>
      <c r="C85" s="712"/>
      <c r="D85" s="712"/>
      <c r="E85" s="712"/>
      <c r="F85" s="89"/>
    </row>
    <row r="86" spans="1:6" x14ac:dyDescent="0.25">
      <c r="A86" s="90" t="s">
        <v>59</v>
      </c>
      <c r="B86" s="90" t="s">
        <v>60</v>
      </c>
      <c r="C86" s="248" t="s">
        <v>61</v>
      </c>
      <c r="D86" s="90" t="s">
        <v>62</v>
      </c>
      <c r="E86" s="90" t="s">
        <v>63</v>
      </c>
      <c r="F86" s="89"/>
    </row>
    <row r="87" spans="1:6" x14ac:dyDescent="0.25">
      <c r="A87" s="90"/>
      <c r="B87" s="90"/>
      <c r="C87" s="248"/>
      <c r="D87" s="90"/>
      <c r="E87" s="90"/>
      <c r="F87" s="89"/>
    </row>
    <row r="88" spans="1:6" x14ac:dyDescent="0.25">
      <c r="A88" s="40" t="s">
        <v>114</v>
      </c>
      <c r="B88" s="451" t="s">
        <v>258</v>
      </c>
      <c r="C88" s="74" t="s">
        <v>2186</v>
      </c>
      <c r="D88" s="40" t="s">
        <v>106</v>
      </c>
      <c r="E88" s="75">
        <v>64.849999999999994</v>
      </c>
      <c r="F88" s="452">
        <f>ROUND(E88,2)</f>
        <v>64.849999999999994</v>
      </c>
    </row>
    <row r="89" spans="1:6" ht="25.5" x14ac:dyDescent="0.25">
      <c r="A89" s="40" t="s">
        <v>131</v>
      </c>
      <c r="B89" s="451" t="s">
        <v>150</v>
      </c>
      <c r="C89" s="74" t="s">
        <v>496</v>
      </c>
      <c r="D89" s="40" t="s">
        <v>72</v>
      </c>
      <c r="E89" s="75">
        <f xml:space="preserve"> 16.69+13.56</f>
        <v>30.25</v>
      </c>
      <c r="F89" s="452">
        <f>ROUND(E89,2)</f>
        <v>30.25</v>
      </c>
    </row>
    <row r="90" spans="1:6" x14ac:dyDescent="0.25">
      <c r="A90" s="712" t="s">
        <v>306</v>
      </c>
      <c r="B90" s="712"/>
      <c r="C90" s="712"/>
      <c r="D90" s="712"/>
      <c r="E90" s="712"/>
      <c r="F90" s="89"/>
    </row>
    <row r="91" spans="1:6" x14ac:dyDescent="0.25">
      <c r="A91" s="90" t="s">
        <v>59</v>
      </c>
      <c r="B91" s="90" t="s">
        <v>60</v>
      </c>
      <c r="C91" s="248" t="s">
        <v>61</v>
      </c>
      <c r="D91" s="90" t="s">
        <v>62</v>
      </c>
      <c r="E91" s="90" t="s">
        <v>63</v>
      </c>
      <c r="F91" s="89"/>
    </row>
    <row r="92" spans="1:6" x14ac:dyDescent="0.25">
      <c r="A92" s="90"/>
      <c r="B92" s="90"/>
      <c r="C92" s="248"/>
      <c r="D92" s="90"/>
      <c r="E92" s="90"/>
      <c r="F92" s="89"/>
    </row>
    <row r="93" spans="1:6" ht="31.5" x14ac:dyDescent="0.25">
      <c r="A93" s="40" t="s">
        <v>114</v>
      </c>
      <c r="B93" s="509" t="s">
        <v>256</v>
      </c>
      <c r="C93" s="506" t="s">
        <v>3113</v>
      </c>
      <c r="D93" s="504" t="s">
        <v>72</v>
      </c>
      <c r="E93" s="503">
        <v>3219.94</v>
      </c>
      <c r="F93" s="452">
        <f t="shared" ref="F93:F95" si="7">ROUND(E93,2)</f>
        <v>3219.94</v>
      </c>
    </row>
    <row r="94" spans="1:6" ht="31.5" x14ac:dyDescent="0.25">
      <c r="A94" s="40" t="s">
        <v>133</v>
      </c>
      <c r="B94" s="509" t="s">
        <v>3114</v>
      </c>
      <c r="C94" s="506" t="s">
        <v>3115</v>
      </c>
      <c r="D94" s="504" t="s">
        <v>69</v>
      </c>
      <c r="E94" s="503">
        <v>32</v>
      </c>
      <c r="F94" s="452">
        <f t="shared" si="7"/>
        <v>32</v>
      </c>
    </row>
    <row r="95" spans="1:6" ht="31.5" x14ac:dyDescent="0.25">
      <c r="A95" s="40" t="s">
        <v>287</v>
      </c>
      <c r="B95" s="509" t="s">
        <v>3116</v>
      </c>
      <c r="C95" s="506" t="s">
        <v>3117</v>
      </c>
      <c r="D95" s="504" t="s">
        <v>69</v>
      </c>
      <c r="E95" s="503">
        <v>14</v>
      </c>
      <c r="F95" s="452">
        <f t="shared" si="7"/>
        <v>14</v>
      </c>
    </row>
    <row r="96" spans="1:6" x14ac:dyDescent="0.25">
      <c r="A96" s="712" t="s">
        <v>81</v>
      </c>
      <c r="B96" s="712"/>
      <c r="C96" s="712"/>
      <c r="D96" s="712"/>
      <c r="E96" s="712"/>
      <c r="F96" s="89"/>
    </row>
    <row r="97" spans="1:6" x14ac:dyDescent="0.25">
      <c r="A97" s="90" t="s">
        <v>59</v>
      </c>
      <c r="B97" s="90" t="s">
        <v>60</v>
      </c>
      <c r="C97" s="248" t="s">
        <v>61</v>
      </c>
      <c r="D97" s="90" t="s">
        <v>62</v>
      </c>
      <c r="E97" s="90" t="s">
        <v>63</v>
      </c>
      <c r="F97" s="89"/>
    </row>
    <row r="98" spans="1:6" x14ac:dyDescent="0.25">
      <c r="A98" s="40" t="s">
        <v>117</v>
      </c>
      <c r="B98" s="38" t="s">
        <v>180</v>
      </c>
      <c r="C98" s="74" t="s">
        <v>497</v>
      </c>
      <c r="D98" s="40" t="s">
        <v>56</v>
      </c>
      <c r="E98" s="75">
        <v>1</v>
      </c>
      <c r="F98" s="452">
        <f t="shared" ref="F98:F102" si="8">ROUND(E98,2)</f>
        <v>1</v>
      </c>
    </row>
    <row r="99" spans="1:6" x14ac:dyDescent="0.25">
      <c r="A99" s="40" t="s">
        <v>119</v>
      </c>
      <c r="B99" s="38" t="s">
        <v>346</v>
      </c>
      <c r="C99" s="74" t="s">
        <v>2203</v>
      </c>
      <c r="D99" s="40" t="s">
        <v>56</v>
      </c>
      <c r="E99" s="75">
        <v>1</v>
      </c>
      <c r="F99" s="452">
        <f>ROUND(E99,2)</f>
        <v>1</v>
      </c>
    </row>
    <row r="100" spans="1:6" ht="63.75" x14ac:dyDescent="0.25">
      <c r="A100" s="40" t="s">
        <v>179</v>
      </c>
      <c r="B100" s="38" t="s">
        <v>118</v>
      </c>
      <c r="C100" s="74" t="s">
        <v>264</v>
      </c>
      <c r="D100" s="40" t="s">
        <v>56</v>
      </c>
      <c r="E100" s="75">
        <v>22</v>
      </c>
      <c r="F100" s="452">
        <f t="shared" si="8"/>
        <v>22</v>
      </c>
    </row>
    <row r="101" spans="1:6" ht="38.25" x14ac:dyDescent="0.25">
      <c r="A101" s="40" t="s">
        <v>183</v>
      </c>
      <c r="B101" s="38" t="s">
        <v>121</v>
      </c>
      <c r="C101" s="74" t="s">
        <v>268</v>
      </c>
      <c r="D101" s="40" t="s">
        <v>72</v>
      </c>
      <c r="E101" s="75">
        <f>16*0.45*0.55</f>
        <v>3.9600000000000004</v>
      </c>
      <c r="F101" s="452">
        <f t="shared" si="8"/>
        <v>3.96</v>
      </c>
    </row>
    <row r="102" spans="1:6" ht="51" x14ac:dyDescent="0.25">
      <c r="A102" s="40" t="s">
        <v>185</v>
      </c>
      <c r="B102" s="38" t="s">
        <v>277</v>
      </c>
      <c r="C102" s="74" t="s">
        <v>2187</v>
      </c>
      <c r="D102" s="40" t="s">
        <v>72</v>
      </c>
      <c r="E102" s="75">
        <v>35.04</v>
      </c>
      <c r="F102" s="452">
        <f t="shared" si="8"/>
        <v>35.04</v>
      </c>
    </row>
    <row r="103" spans="1:6" x14ac:dyDescent="0.25">
      <c r="A103" s="40" t="s">
        <v>186</v>
      </c>
      <c r="B103" s="38" t="s">
        <v>181</v>
      </c>
      <c r="C103" s="74" t="s">
        <v>134</v>
      </c>
      <c r="D103" s="40" t="s">
        <v>69</v>
      </c>
      <c r="E103" s="75">
        <v>1</v>
      </c>
      <c r="F103" s="452">
        <f>ROUND(E103,2)</f>
        <v>1</v>
      </c>
    </row>
    <row r="104" spans="1:6" x14ac:dyDescent="0.25">
      <c r="A104" s="40" t="s">
        <v>195</v>
      </c>
      <c r="B104" s="38" t="s">
        <v>182</v>
      </c>
      <c r="C104" s="74" t="s">
        <v>2961</v>
      </c>
      <c r="D104" s="40" t="s">
        <v>69</v>
      </c>
      <c r="E104" s="75">
        <v>3</v>
      </c>
      <c r="F104" s="452">
        <f>ROUND(E104,2)</f>
        <v>3</v>
      </c>
    </row>
    <row r="105" spans="1:6" ht="25.5" x14ac:dyDescent="0.25">
      <c r="A105" s="40" t="s">
        <v>347</v>
      </c>
      <c r="B105" s="38" t="s">
        <v>187</v>
      </c>
      <c r="C105" s="74" t="s">
        <v>260</v>
      </c>
      <c r="D105" s="40" t="s">
        <v>69</v>
      </c>
      <c r="E105" s="75">
        <v>6</v>
      </c>
      <c r="F105" s="452">
        <f t="shared" ref="F105:F109" si="9">E105</f>
        <v>6</v>
      </c>
    </row>
    <row r="106" spans="1:6" ht="25.5" x14ac:dyDescent="0.25">
      <c r="A106" s="40" t="s">
        <v>348</v>
      </c>
      <c r="B106" s="38" t="s">
        <v>188</v>
      </c>
      <c r="C106" s="74" t="s">
        <v>261</v>
      </c>
      <c r="D106" s="40" t="s">
        <v>69</v>
      </c>
      <c r="E106" s="75">
        <v>6</v>
      </c>
      <c r="F106" s="452">
        <f t="shared" si="9"/>
        <v>6</v>
      </c>
    </row>
    <row r="107" spans="1:6" ht="25.5" x14ac:dyDescent="0.25">
      <c r="A107" s="40" t="s">
        <v>270</v>
      </c>
      <c r="B107" s="38" t="s">
        <v>269</v>
      </c>
      <c r="C107" s="74" t="s">
        <v>278</v>
      </c>
      <c r="D107" s="40" t="s">
        <v>69</v>
      </c>
      <c r="E107" s="75">
        <v>31</v>
      </c>
      <c r="F107" s="452">
        <f t="shared" si="9"/>
        <v>31</v>
      </c>
    </row>
    <row r="108" spans="1:6" x14ac:dyDescent="0.25">
      <c r="A108" s="40" t="s">
        <v>274</v>
      </c>
      <c r="B108" s="38" t="s">
        <v>317</v>
      </c>
      <c r="C108" s="74" t="s">
        <v>318</v>
      </c>
      <c r="D108" s="40" t="s">
        <v>69</v>
      </c>
      <c r="E108" s="75">
        <v>1</v>
      </c>
      <c r="F108" s="452">
        <f>E108</f>
        <v>1</v>
      </c>
    </row>
    <row r="109" spans="1:6" ht="60" x14ac:dyDescent="0.25">
      <c r="A109" s="40" t="s">
        <v>275</v>
      </c>
      <c r="B109" s="38" t="s">
        <v>301</v>
      </c>
      <c r="C109" s="91" t="s">
        <v>2962</v>
      </c>
      <c r="D109" s="40" t="s">
        <v>75</v>
      </c>
      <c r="E109" s="75">
        <f>93.05+93.04+0.7+23.08+4.02</f>
        <v>213.89000000000001</v>
      </c>
      <c r="F109" s="452">
        <f t="shared" si="9"/>
        <v>213.89000000000001</v>
      </c>
    </row>
    <row r="110" spans="1:6" ht="60" x14ac:dyDescent="0.25">
      <c r="A110" s="40" t="s">
        <v>349</v>
      </c>
      <c r="B110" s="38" t="s">
        <v>2629</v>
      </c>
      <c r="C110" s="91" t="s">
        <v>3120</v>
      </c>
      <c r="D110" s="40" t="s">
        <v>75</v>
      </c>
      <c r="E110" s="75">
        <v>479.31000000000006</v>
      </c>
      <c r="F110" s="452">
        <f>E110</f>
        <v>479.31000000000006</v>
      </c>
    </row>
    <row r="111" spans="1:6" ht="45" x14ac:dyDescent="0.25">
      <c r="A111" s="40" t="s">
        <v>349</v>
      </c>
      <c r="B111" s="38" t="s">
        <v>2630</v>
      </c>
      <c r="C111" s="91" t="s">
        <v>3121</v>
      </c>
      <c r="D111" s="40" t="s">
        <v>106</v>
      </c>
      <c r="E111" s="75">
        <v>37.840000000000003</v>
      </c>
      <c r="F111" s="452">
        <f>E111</f>
        <v>37.840000000000003</v>
      </c>
    </row>
    <row r="112" spans="1:6" ht="38.25" x14ac:dyDescent="0.25">
      <c r="A112" s="40" t="s">
        <v>350</v>
      </c>
      <c r="B112" s="451" t="s">
        <v>2202</v>
      </c>
      <c r="C112" s="74" t="s">
        <v>3122</v>
      </c>
      <c r="D112" s="462" t="s">
        <v>56</v>
      </c>
      <c r="E112" s="75">
        <v>11</v>
      </c>
      <c r="F112" s="452">
        <f>ROUND(E112,2)</f>
        <v>11</v>
      </c>
    </row>
    <row r="113" spans="1:7" x14ac:dyDescent="0.25">
      <c r="A113" s="40" t="s">
        <v>2963</v>
      </c>
      <c r="B113" s="38" t="s">
        <v>298</v>
      </c>
      <c r="C113" s="74" t="s">
        <v>299</v>
      </c>
      <c r="D113" s="40" t="s">
        <v>69</v>
      </c>
      <c r="E113" s="75">
        <v>1</v>
      </c>
      <c r="F113" s="452">
        <f>E113</f>
        <v>1</v>
      </c>
    </row>
    <row r="114" spans="1:7" s="511" customFormat="1" ht="63" x14ac:dyDescent="0.25">
      <c r="A114" s="504" t="s">
        <v>3125</v>
      </c>
      <c r="B114" s="509" t="s">
        <v>3126</v>
      </c>
      <c r="C114" s="506" t="s">
        <v>3127</v>
      </c>
      <c r="D114" s="504" t="s">
        <v>106</v>
      </c>
      <c r="E114" s="503">
        <f>11.016*7</f>
        <v>77.111999999999995</v>
      </c>
      <c r="F114" s="512">
        <f t="shared" ref="F114" si="10">E114</f>
        <v>77.111999999999995</v>
      </c>
      <c r="G114" s="510"/>
    </row>
    <row r="115" spans="1:7" x14ac:dyDescent="0.25">
      <c r="A115" s="712" t="s">
        <v>136</v>
      </c>
      <c r="B115" s="712"/>
      <c r="C115" s="712"/>
      <c r="D115" s="712"/>
      <c r="E115" s="712"/>
      <c r="F115" s="89"/>
    </row>
    <row r="116" spans="1:7" x14ac:dyDescent="0.25">
      <c r="A116" s="90" t="s">
        <v>59</v>
      </c>
      <c r="B116" s="90" t="s">
        <v>60</v>
      </c>
      <c r="C116" s="248" t="s">
        <v>61</v>
      </c>
      <c r="D116" s="90" t="s">
        <v>62</v>
      </c>
      <c r="E116" s="90" t="s">
        <v>63</v>
      </c>
      <c r="F116" s="89"/>
    </row>
    <row r="117" spans="1:7" ht="45" x14ac:dyDescent="0.25">
      <c r="A117" s="40" t="s">
        <v>142</v>
      </c>
      <c r="B117" s="38" t="s">
        <v>2577</v>
      </c>
      <c r="C117" s="91" t="s">
        <v>2578</v>
      </c>
      <c r="D117" s="40" t="s">
        <v>961</v>
      </c>
      <c r="E117" s="75">
        <f>8+27</f>
        <v>35</v>
      </c>
      <c r="F117" s="452">
        <f t="shared" ref="F117:F123" si="11">ROUND(E117,2)</f>
        <v>35</v>
      </c>
    </row>
    <row r="118" spans="1:7" ht="45" x14ac:dyDescent="0.25">
      <c r="A118" s="40" t="s">
        <v>143</v>
      </c>
      <c r="B118" s="38" t="s">
        <v>2579</v>
      </c>
      <c r="C118" s="91" t="s">
        <v>2580</v>
      </c>
      <c r="D118" s="40" t="s">
        <v>961</v>
      </c>
      <c r="E118" s="75">
        <v>50</v>
      </c>
      <c r="F118" s="452">
        <f t="shared" si="11"/>
        <v>50</v>
      </c>
    </row>
    <row r="119" spans="1:7" x14ac:dyDescent="0.25">
      <c r="A119" s="40" t="s">
        <v>186</v>
      </c>
      <c r="B119" s="38" t="s">
        <v>354</v>
      </c>
      <c r="C119" s="74" t="s">
        <v>137</v>
      </c>
      <c r="D119" s="40" t="s">
        <v>69</v>
      </c>
      <c r="E119" s="75">
        <v>1</v>
      </c>
      <c r="F119" s="452">
        <f t="shared" si="11"/>
        <v>1</v>
      </c>
    </row>
    <row r="120" spans="1:7" ht="30" x14ac:dyDescent="0.25">
      <c r="A120" s="40" t="s">
        <v>194</v>
      </c>
      <c r="B120" s="38" t="s">
        <v>355</v>
      </c>
      <c r="C120" s="91" t="s">
        <v>3128</v>
      </c>
      <c r="D120" s="40" t="s">
        <v>10</v>
      </c>
      <c r="E120" s="75">
        <f>(106+234)*0.25*0.25</f>
        <v>21.25</v>
      </c>
      <c r="F120" s="452">
        <f t="shared" si="11"/>
        <v>21.25</v>
      </c>
    </row>
    <row r="121" spans="1:7" ht="30" x14ac:dyDescent="0.25">
      <c r="A121" s="40" t="s">
        <v>195</v>
      </c>
      <c r="B121" s="38" t="s">
        <v>356</v>
      </c>
      <c r="C121" s="91" t="s">
        <v>3129</v>
      </c>
      <c r="D121" s="40" t="s">
        <v>10</v>
      </c>
      <c r="E121" s="75">
        <f>(427+1960)*0.25*0.25</f>
        <v>149.1875</v>
      </c>
      <c r="F121" s="452">
        <f>ROUND(E121,2)</f>
        <v>149.19</v>
      </c>
    </row>
    <row r="122" spans="1:7" ht="30" x14ac:dyDescent="0.25">
      <c r="A122" s="40" t="s">
        <v>347</v>
      </c>
      <c r="B122" s="38" t="s">
        <v>357</v>
      </c>
      <c r="C122" s="91" t="s">
        <v>3130</v>
      </c>
      <c r="D122" s="40" t="s">
        <v>159</v>
      </c>
      <c r="E122" s="75">
        <f>(500+179)*0.25*0.25</f>
        <v>42.4375</v>
      </c>
      <c r="F122" s="452">
        <f t="shared" ref="F122" si="12">ROUND(E122,2)</f>
        <v>42.44</v>
      </c>
    </row>
    <row r="123" spans="1:7" ht="25.5" x14ac:dyDescent="0.25">
      <c r="A123" s="40" t="s">
        <v>348</v>
      </c>
      <c r="B123" s="38" t="s">
        <v>2188</v>
      </c>
      <c r="C123" s="74" t="s">
        <v>2189</v>
      </c>
      <c r="D123" s="40" t="s">
        <v>159</v>
      </c>
      <c r="E123" s="75">
        <f>6*3.7*5</f>
        <v>111.00000000000001</v>
      </c>
      <c r="F123" s="452">
        <f t="shared" si="11"/>
        <v>111</v>
      </c>
    </row>
    <row r="124" spans="1:7" x14ac:dyDescent="0.25">
      <c r="A124" s="713" t="s">
        <v>65</v>
      </c>
      <c r="B124" s="713"/>
      <c r="C124" s="710"/>
      <c r="D124" s="710"/>
      <c r="E124" s="710"/>
      <c r="F124" s="89"/>
    </row>
    <row r="125" spans="1:7" x14ac:dyDescent="0.25">
      <c r="A125" s="90" t="s">
        <v>59</v>
      </c>
      <c r="B125" s="90" t="s">
        <v>60</v>
      </c>
      <c r="C125" s="248" t="s">
        <v>61</v>
      </c>
      <c r="D125" s="90" t="s">
        <v>62</v>
      </c>
      <c r="E125" s="90" t="s">
        <v>63</v>
      </c>
      <c r="F125" s="89"/>
    </row>
    <row r="126" spans="1:7" s="516" customFormat="1" ht="31.5" x14ac:dyDescent="0.25">
      <c r="A126" s="504" t="s">
        <v>120</v>
      </c>
      <c r="B126" s="505" t="s">
        <v>3131</v>
      </c>
      <c r="C126" s="506" t="s">
        <v>3132</v>
      </c>
      <c r="D126" s="504" t="s">
        <v>10</v>
      </c>
      <c r="E126" s="517">
        <v>187.78999999999996</v>
      </c>
      <c r="F126" s="512">
        <f t="shared" ref="F126:F127" si="13">ROUND(E126,2)</f>
        <v>187.79</v>
      </c>
    </row>
    <row r="127" spans="1:7" s="516" customFormat="1" ht="31.5" x14ac:dyDescent="0.25">
      <c r="A127" s="504" t="s">
        <v>2216</v>
      </c>
      <c r="B127" s="505" t="s">
        <v>3133</v>
      </c>
      <c r="C127" s="506" t="s">
        <v>3134</v>
      </c>
      <c r="D127" s="504" t="s">
        <v>10</v>
      </c>
      <c r="E127" s="503">
        <v>1708.3</v>
      </c>
      <c r="F127" s="512">
        <f t="shared" si="13"/>
        <v>1708.3</v>
      </c>
    </row>
    <row r="128" spans="1:7" ht="78.75" x14ac:dyDescent="0.25">
      <c r="A128" s="504" t="s">
        <v>3164</v>
      </c>
      <c r="B128" s="451" t="s">
        <v>66</v>
      </c>
      <c r="C128" s="506" t="s">
        <v>3163</v>
      </c>
      <c r="D128" s="504" t="s">
        <v>10</v>
      </c>
      <c r="E128" s="503">
        <v>2077.9499999999998</v>
      </c>
      <c r="F128" s="512">
        <f>ROUND(E128,2)</f>
        <v>2077.9499999999998</v>
      </c>
    </row>
    <row r="129" spans="1:6" x14ac:dyDescent="0.25">
      <c r="A129" s="368"/>
      <c r="B129" s="367"/>
      <c r="C129" s="367"/>
      <c r="D129" s="367"/>
      <c r="E129" s="367"/>
      <c r="F129" s="366"/>
    </row>
    <row r="130" spans="1:6" x14ac:dyDescent="0.25">
      <c r="F130" s="43"/>
    </row>
    <row r="131" spans="1:6" x14ac:dyDescent="0.25">
      <c r="F131" s="43"/>
    </row>
    <row r="132" spans="1:6" x14ac:dyDescent="0.25">
      <c r="B132" s="109"/>
      <c r="C132" s="110"/>
      <c r="D132" s="109"/>
      <c r="E132" s="111"/>
      <c r="F132" s="43"/>
    </row>
    <row r="133" spans="1:6" x14ac:dyDescent="0.25">
      <c r="B133" s="109"/>
      <c r="C133" s="112"/>
      <c r="D133" s="109"/>
      <c r="E133" s="111"/>
      <c r="F133" s="43"/>
    </row>
    <row r="134" spans="1:6" x14ac:dyDescent="0.25">
      <c r="B134" s="109"/>
      <c r="C134" s="113"/>
      <c r="D134" s="109"/>
      <c r="E134" s="111"/>
      <c r="F134" s="43"/>
    </row>
    <row r="135" spans="1:6" x14ac:dyDescent="0.25">
      <c r="B135" s="114"/>
      <c r="C135" s="114"/>
      <c r="D135" s="114"/>
      <c r="E135" s="114"/>
      <c r="F135" s="43"/>
    </row>
    <row r="136" spans="1:6" x14ac:dyDescent="0.25">
      <c r="F136" s="43"/>
    </row>
    <row r="137" spans="1:6" x14ac:dyDescent="0.25">
      <c r="F137" s="43"/>
    </row>
    <row r="138" spans="1:6" x14ac:dyDescent="0.25">
      <c r="B138" s="41"/>
      <c r="C138" s="41"/>
      <c r="D138" s="41"/>
      <c r="E138" s="41"/>
      <c r="F138" s="43"/>
    </row>
    <row r="139" spans="1:6" x14ac:dyDescent="0.25">
      <c r="B139" s="41"/>
      <c r="C139" s="44"/>
      <c r="D139" s="45"/>
      <c r="E139" s="45"/>
      <c r="F139" s="43"/>
    </row>
    <row r="140" spans="1:6" x14ac:dyDescent="0.25">
      <c r="B140" s="41"/>
      <c r="C140" s="46"/>
      <c r="D140" s="43"/>
      <c r="E140" s="43"/>
      <c r="F140" s="43"/>
    </row>
    <row r="141" spans="1:6" x14ac:dyDescent="0.25">
      <c r="B141" s="41"/>
      <c r="C141" s="46"/>
      <c r="D141" s="43"/>
      <c r="E141" s="43"/>
      <c r="F141" s="43"/>
    </row>
    <row r="142" spans="1:6" x14ac:dyDescent="0.25">
      <c r="B142" s="41"/>
      <c r="C142" s="46"/>
      <c r="D142" s="43"/>
      <c r="E142" s="43"/>
      <c r="F142" s="43"/>
    </row>
    <row r="143" spans="1:6" x14ac:dyDescent="0.25">
      <c r="B143" s="41"/>
      <c r="C143" s="46"/>
      <c r="D143" s="43"/>
      <c r="E143" s="43"/>
      <c r="F143" s="43"/>
    </row>
    <row r="144" spans="1:6" x14ac:dyDescent="0.25">
      <c r="B144" s="41"/>
      <c r="C144" s="46"/>
      <c r="D144" s="43"/>
      <c r="E144" s="43"/>
      <c r="F144" s="43"/>
    </row>
    <row r="145" spans="2:6" x14ac:dyDescent="0.25">
      <c r="B145" s="41"/>
      <c r="C145" s="46"/>
      <c r="D145" s="43"/>
      <c r="E145" s="43"/>
      <c r="F145" s="43"/>
    </row>
    <row r="146" spans="2:6" x14ac:dyDescent="0.25">
      <c r="B146" s="41"/>
      <c r="C146" s="46"/>
      <c r="D146" s="43"/>
      <c r="E146" s="43"/>
      <c r="F146" s="43"/>
    </row>
    <row r="147" spans="2:6" x14ac:dyDescent="0.25">
      <c r="B147" s="41"/>
      <c r="C147" s="46"/>
      <c r="D147" s="43"/>
      <c r="E147" s="43"/>
      <c r="F147" s="43"/>
    </row>
    <row r="148" spans="2:6" x14ac:dyDescent="0.25">
      <c r="B148" s="41"/>
      <c r="C148" s="46"/>
      <c r="D148" s="43"/>
      <c r="E148" s="43"/>
      <c r="F148" s="43"/>
    </row>
    <row r="149" spans="2:6" x14ac:dyDescent="0.25">
      <c r="B149" s="41"/>
      <c r="C149" s="46"/>
      <c r="D149" s="43"/>
      <c r="E149" s="43"/>
      <c r="F149" s="43"/>
    </row>
    <row r="150" spans="2:6" x14ac:dyDescent="0.25">
      <c r="B150" s="41"/>
      <c r="C150" s="46"/>
      <c r="D150" s="43"/>
      <c r="E150" s="43"/>
      <c r="F150" s="43"/>
    </row>
    <row r="151" spans="2:6" x14ac:dyDescent="0.25">
      <c r="B151" s="41"/>
      <c r="C151" s="46"/>
      <c r="D151" s="43"/>
      <c r="E151" s="43"/>
      <c r="F151" s="43"/>
    </row>
    <row r="152" spans="2:6" x14ac:dyDescent="0.25">
      <c r="B152" s="41"/>
      <c r="C152" s="46"/>
      <c r="D152" s="43"/>
      <c r="E152" s="43"/>
      <c r="F152" s="43"/>
    </row>
    <row r="153" spans="2:6" x14ac:dyDescent="0.25">
      <c r="B153" s="41"/>
      <c r="C153" s="46"/>
      <c r="D153" s="43"/>
      <c r="E153" s="43"/>
      <c r="F153" s="43"/>
    </row>
    <row r="154" spans="2:6" x14ac:dyDescent="0.25">
      <c r="B154" s="41"/>
      <c r="C154" s="46"/>
      <c r="D154" s="43"/>
      <c r="E154" s="43"/>
      <c r="F154" s="43"/>
    </row>
    <row r="155" spans="2:6" x14ac:dyDescent="0.25">
      <c r="B155" s="41"/>
      <c r="C155" s="46"/>
      <c r="D155" s="43"/>
      <c r="E155" s="43"/>
      <c r="F155" s="43"/>
    </row>
    <row r="156" spans="2:6" x14ac:dyDescent="0.25">
      <c r="B156" s="41"/>
      <c r="C156" s="46"/>
      <c r="D156" s="43"/>
      <c r="E156" s="43"/>
      <c r="F156" s="43"/>
    </row>
    <row r="157" spans="2:6" x14ac:dyDescent="0.25">
      <c r="B157" s="41"/>
      <c r="C157" s="46"/>
      <c r="D157" s="43"/>
      <c r="E157" s="43"/>
      <c r="F157" s="43"/>
    </row>
    <row r="158" spans="2:6" x14ac:dyDescent="0.25">
      <c r="B158" s="41"/>
      <c r="C158" s="46"/>
      <c r="D158" s="43"/>
      <c r="E158" s="43"/>
      <c r="F158" s="43"/>
    </row>
    <row r="159" spans="2:6" x14ac:dyDescent="0.25">
      <c r="B159" s="41"/>
      <c r="C159" s="46"/>
      <c r="D159" s="43"/>
      <c r="E159" s="43"/>
      <c r="F159" s="43"/>
    </row>
    <row r="160" spans="2:6" x14ac:dyDescent="0.25">
      <c r="B160" s="41"/>
      <c r="C160" s="46"/>
      <c r="D160" s="43"/>
      <c r="E160" s="43"/>
      <c r="F160" s="43"/>
    </row>
    <row r="161" spans="2:6" x14ac:dyDescent="0.25">
      <c r="B161" s="41"/>
      <c r="C161" s="46"/>
      <c r="D161" s="43"/>
      <c r="E161" s="43"/>
      <c r="F161" s="43"/>
    </row>
    <row r="162" spans="2:6" x14ac:dyDescent="0.25">
      <c r="B162" s="41"/>
      <c r="C162" s="44"/>
      <c r="D162" s="45"/>
      <c r="E162" s="45"/>
      <c r="F162" s="43"/>
    </row>
    <row r="163" spans="2:6" x14ac:dyDescent="0.25">
      <c r="B163" s="41"/>
      <c r="C163" s="46"/>
      <c r="D163" s="43"/>
      <c r="E163" s="43"/>
      <c r="F163" s="43"/>
    </row>
    <row r="164" spans="2:6" x14ac:dyDescent="0.25">
      <c r="B164" s="41"/>
      <c r="C164" s="46"/>
      <c r="D164" s="43"/>
      <c r="E164" s="43"/>
      <c r="F164" s="43"/>
    </row>
    <row r="165" spans="2:6" x14ac:dyDescent="0.25">
      <c r="B165" s="41"/>
      <c r="C165" s="46"/>
      <c r="D165" s="43"/>
      <c r="E165" s="43"/>
      <c r="F165" s="43"/>
    </row>
    <row r="166" spans="2:6" x14ac:dyDescent="0.25">
      <c r="C166" s="48"/>
      <c r="D166" s="47"/>
      <c r="E166" s="47"/>
      <c r="F166" s="43"/>
    </row>
    <row r="167" spans="2:6" x14ac:dyDescent="0.25">
      <c r="C167" s="48"/>
      <c r="D167" s="47"/>
      <c r="E167" s="47"/>
      <c r="F167" s="43"/>
    </row>
    <row r="168" spans="2:6" x14ac:dyDescent="0.25">
      <c r="C168" s="48"/>
      <c r="D168" s="47"/>
      <c r="E168" s="47"/>
      <c r="F168" s="43"/>
    </row>
    <row r="169" spans="2:6" x14ac:dyDescent="0.25">
      <c r="C169" s="48"/>
      <c r="D169" s="47"/>
      <c r="E169" s="47"/>
      <c r="F169" s="43"/>
    </row>
    <row r="170" spans="2:6" x14ac:dyDescent="0.25">
      <c r="C170" s="48"/>
      <c r="D170" s="47"/>
      <c r="E170" s="47"/>
      <c r="F170" s="43"/>
    </row>
    <row r="171" spans="2:6" x14ac:dyDescent="0.25">
      <c r="B171" s="41"/>
      <c r="C171" s="46"/>
      <c r="D171" s="43"/>
      <c r="E171" s="43"/>
      <c r="F171" s="43"/>
    </row>
    <row r="172" spans="2:6" x14ac:dyDescent="0.25">
      <c r="B172" s="41"/>
      <c r="C172" s="46"/>
      <c r="D172" s="43"/>
      <c r="E172" s="43"/>
      <c r="F172" s="43"/>
    </row>
    <row r="173" spans="2:6" x14ac:dyDescent="0.25">
      <c r="B173" s="41"/>
      <c r="C173" s="46"/>
      <c r="D173" s="43"/>
      <c r="E173" s="43"/>
      <c r="F173" s="43"/>
    </row>
    <row r="174" spans="2:6" x14ac:dyDescent="0.25">
      <c r="B174" s="41"/>
      <c r="C174" s="46"/>
      <c r="D174" s="43"/>
      <c r="E174" s="43"/>
      <c r="F174" s="43"/>
    </row>
    <row r="175" spans="2:6" x14ac:dyDescent="0.25">
      <c r="B175" s="41"/>
      <c r="C175" s="46"/>
      <c r="D175" s="43"/>
      <c r="E175" s="43"/>
      <c r="F175" s="43"/>
    </row>
    <row r="176" spans="2:6" x14ac:dyDescent="0.25">
      <c r="B176" s="41"/>
      <c r="C176" s="46"/>
      <c r="D176" s="43"/>
      <c r="E176" s="43"/>
      <c r="F176" s="43"/>
    </row>
    <row r="177" spans="2:6" x14ac:dyDescent="0.25">
      <c r="B177" s="41"/>
      <c r="C177" s="46"/>
      <c r="D177" s="43"/>
      <c r="E177" s="43"/>
      <c r="F177" s="43"/>
    </row>
    <row r="178" spans="2:6" x14ac:dyDescent="0.25">
      <c r="B178" s="41"/>
      <c r="C178" s="46"/>
      <c r="D178" s="43"/>
      <c r="E178" s="43"/>
      <c r="F178" s="43"/>
    </row>
    <row r="179" spans="2:6" x14ac:dyDescent="0.25">
      <c r="B179" s="41"/>
      <c r="C179" s="46"/>
      <c r="D179" s="43"/>
      <c r="E179" s="43"/>
      <c r="F179" s="43"/>
    </row>
    <row r="180" spans="2:6" x14ac:dyDescent="0.25">
      <c r="B180" s="41"/>
      <c r="C180" s="46"/>
      <c r="D180" s="41"/>
      <c r="E180" s="41"/>
      <c r="F180" s="43"/>
    </row>
    <row r="181" spans="2:6" x14ac:dyDescent="0.25">
      <c r="B181" s="41"/>
      <c r="C181" s="44"/>
      <c r="D181" s="45"/>
      <c r="E181" s="45"/>
      <c r="F181" s="43"/>
    </row>
    <row r="182" spans="2:6" x14ac:dyDescent="0.25">
      <c r="B182" s="41"/>
      <c r="C182" s="46"/>
      <c r="D182" s="43"/>
      <c r="E182" s="43"/>
      <c r="F182" s="43"/>
    </row>
    <row r="183" spans="2:6" x14ac:dyDescent="0.25">
      <c r="B183" s="41"/>
      <c r="C183" s="46"/>
      <c r="D183" s="43"/>
      <c r="E183" s="43"/>
      <c r="F183" s="43"/>
    </row>
    <row r="184" spans="2:6" x14ac:dyDescent="0.25">
      <c r="B184" s="41"/>
      <c r="C184" s="46"/>
      <c r="D184" s="43"/>
      <c r="E184" s="43"/>
      <c r="F184" s="43"/>
    </row>
    <row r="185" spans="2:6" x14ac:dyDescent="0.25">
      <c r="B185" s="41"/>
      <c r="C185" s="46"/>
      <c r="D185" s="43"/>
      <c r="E185" s="43"/>
      <c r="F185" s="43"/>
    </row>
    <row r="186" spans="2:6" x14ac:dyDescent="0.25">
      <c r="B186" s="41"/>
      <c r="C186" s="46"/>
      <c r="D186" s="43"/>
      <c r="E186" s="43"/>
      <c r="F186" s="43"/>
    </row>
    <row r="187" spans="2:6" x14ac:dyDescent="0.25">
      <c r="B187" s="41"/>
      <c r="C187" s="46"/>
      <c r="D187" s="43"/>
      <c r="E187" s="43"/>
      <c r="F187" s="43"/>
    </row>
    <row r="188" spans="2:6" x14ac:dyDescent="0.25">
      <c r="B188" s="41"/>
      <c r="C188" s="46"/>
      <c r="D188" s="43"/>
      <c r="E188" s="43"/>
      <c r="F188" s="43"/>
    </row>
    <row r="189" spans="2:6" x14ac:dyDescent="0.25">
      <c r="B189" s="41"/>
      <c r="C189" s="46"/>
      <c r="D189" s="43"/>
      <c r="E189" s="43"/>
      <c r="F189" s="43"/>
    </row>
    <row r="190" spans="2:6" x14ac:dyDescent="0.25">
      <c r="B190" s="41"/>
      <c r="C190" s="46"/>
      <c r="D190" s="43"/>
      <c r="E190" s="43"/>
      <c r="F190" s="43"/>
    </row>
    <row r="191" spans="2:6" x14ac:dyDescent="0.25">
      <c r="B191" s="41"/>
      <c r="C191" s="46"/>
      <c r="D191" s="43"/>
      <c r="E191" s="43"/>
      <c r="F191" s="43"/>
    </row>
    <row r="192" spans="2:6" x14ac:dyDescent="0.25">
      <c r="B192" s="41"/>
      <c r="C192" s="46"/>
      <c r="D192" s="43"/>
      <c r="E192" s="43"/>
      <c r="F192" s="43"/>
    </row>
    <row r="193" spans="2:6" x14ac:dyDescent="0.25">
      <c r="B193" s="49"/>
      <c r="C193" s="50"/>
      <c r="D193" s="51"/>
      <c r="E193" s="51"/>
      <c r="F193" s="51"/>
    </row>
    <row r="194" spans="2:6" x14ac:dyDescent="0.25">
      <c r="B194" s="49"/>
      <c r="C194" s="50"/>
      <c r="D194" s="49"/>
      <c r="E194" s="49"/>
      <c r="F194" s="51"/>
    </row>
    <row r="195" spans="2:6" x14ac:dyDescent="0.25">
      <c r="B195" s="49"/>
      <c r="C195" s="52"/>
      <c r="D195" s="53"/>
      <c r="E195" s="53"/>
      <c r="F195" s="51"/>
    </row>
    <row r="196" spans="2:6" x14ac:dyDescent="0.25">
      <c r="B196" s="49"/>
      <c r="C196" s="50"/>
      <c r="D196" s="49"/>
      <c r="E196" s="49"/>
      <c r="F196" s="51"/>
    </row>
    <row r="197" spans="2:6" x14ac:dyDescent="0.25">
      <c r="B197" s="49"/>
      <c r="C197" s="50"/>
      <c r="D197" s="49"/>
      <c r="E197" s="49"/>
      <c r="F197" s="51"/>
    </row>
    <row r="198" spans="2:6" x14ac:dyDescent="0.25">
      <c r="B198" s="49"/>
      <c r="C198" s="54"/>
      <c r="D198" s="49"/>
      <c r="E198" s="49"/>
      <c r="F198" s="51"/>
    </row>
    <row r="199" spans="2:6" x14ac:dyDescent="0.25">
      <c r="B199" s="49"/>
      <c r="C199" s="50"/>
      <c r="D199" s="49"/>
      <c r="E199" s="49"/>
      <c r="F199" s="49"/>
    </row>
    <row r="200" spans="2:6" x14ac:dyDescent="0.25">
      <c r="B200" s="49"/>
      <c r="C200" s="50"/>
      <c r="D200" s="49"/>
      <c r="E200" s="49"/>
      <c r="F200" s="49"/>
    </row>
    <row r="201" spans="2:6" x14ac:dyDescent="0.25">
      <c r="B201" s="49"/>
      <c r="C201" s="50"/>
      <c r="D201" s="49"/>
      <c r="E201" s="49"/>
      <c r="F201" s="49"/>
    </row>
    <row r="202" spans="2:6" x14ac:dyDescent="0.25">
      <c r="B202" s="49"/>
      <c r="C202" s="50"/>
      <c r="D202" s="49"/>
      <c r="E202" s="49"/>
      <c r="F202" s="49"/>
    </row>
    <row r="203" spans="2:6" x14ac:dyDescent="0.25">
      <c r="B203" s="49"/>
      <c r="C203" s="50"/>
      <c r="D203" s="49"/>
      <c r="E203" s="49"/>
      <c r="F203" s="49"/>
    </row>
    <row r="204" spans="2:6" x14ac:dyDescent="0.25">
      <c r="B204" s="49"/>
      <c r="C204" s="50"/>
      <c r="D204" s="49"/>
      <c r="E204" s="49"/>
      <c r="F204" s="49"/>
    </row>
    <row r="205" spans="2:6" x14ac:dyDescent="0.25">
      <c r="B205" s="49"/>
      <c r="C205" s="50"/>
      <c r="D205" s="49"/>
      <c r="E205" s="49"/>
      <c r="F205" s="49"/>
    </row>
    <row r="206" spans="2:6" x14ac:dyDescent="0.25">
      <c r="B206" s="49"/>
      <c r="C206" s="50"/>
      <c r="D206" s="49"/>
      <c r="E206" s="49"/>
      <c r="F206" s="49"/>
    </row>
    <row r="207" spans="2:6" x14ac:dyDescent="0.25">
      <c r="B207" s="49"/>
      <c r="C207" s="50"/>
      <c r="D207" s="49"/>
      <c r="E207" s="49"/>
      <c r="F207" s="49"/>
    </row>
    <row r="208" spans="2:6" x14ac:dyDescent="0.25">
      <c r="B208" s="49"/>
      <c r="C208" s="50"/>
      <c r="D208" s="49"/>
      <c r="E208" s="49"/>
      <c r="F208" s="49"/>
    </row>
    <row r="209" spans="2:6" x14ac:dyDescent="0.25">
      <c r="B209" s="49"/>
      <c r="C209" s="50"/>
      <c r="D209" s="49"/>
      <c r="E209" s="49"/>
      <c r="F209" s="49"/>
    </row>
    <row r="210" spans="2:6" x14ac:dyDescent="0.25">
      <c r="B210" s="55"/>
      <c r="C210" s="52"/>
      <c r="D210" s="55"/>
      <c r="E210" s="49"/>
      <c r="F210" s="51"/>
    </row>
    <row r="211" spans="2:6" x14ac:dyDescent="0.25">
      <c r="B211" s="49"/>
      <c r="C211" s="50"/>
      <c r="D211" s="49"/>
      <c r="E211" s="49"/>
      <c r="F211" s="51"/>
    </row>
    <row r="212" spans="2:6" x14ac:dyDescent="0.25">
      <c r="B212" s="49"/>
      <c r="C212" s="50"/>
      <c r="D212" s="49"/>
      <c r="E212" s="49"/>
      <c r="F212" s="51"/>
    </row>
    <row r="213" spans="2:6" x14ac:dyDescent="0.25">
      <c r="B213" s="49"/>
      <c r="C213" s="50"/>
      <c r="D213" s="49"/>
      <c r="E213" s="49"/>
      <c r="F213" s="51"/>
    </row>
    <row r="214" spans="2:6" x14ac:dyDescent="0.25">
      <c r="B214" s="49"/>
      <c r="C214" s="50"/>
      <c r="D214" s="49"/>
      <c r="E214" s="49"/>
      <c r="F214" s="51"/>
    </row>
    <row r="215" spans="2:6" x14ac:dyDescent="0.25">
      <c r="B215" s="49"/>
      <c r="C215" s="50"/>
      <c r="D215" s="49"/>
      <c r="E215" s="49"/>
      <c r="F215" s="51"/>
    </row>
    <row r="216" spans="2:6" x14ac:dyDescent="0.25">
      <c r="B216" s="49"/>
      <c r="C216" s="50"/>
      <c r="D216" s="49"/>
      <c r="E216" s="49"/>
      <c r="F216" s="51"/>
    </row>
    <row r="217" spans="2:6" x14ac:dyDescent="0.25">
      <c r="B217" s="49"/>
      <c r="C217" s="50"/>
      <c r="D217" s="49"/>
      <c r="E217" s="49"/>
      <c r="F217" s="51"/>
    </row>
    <row r="218" spans="2:6" x14ac:dyDescent="0.25">
      <c r="B218" s="49"/>
      <c r="C218" s="50"/>
      <c r="D218" s="49"/>
      <c r="E218" s="49"/>
      <c r="F218" s="51"/>
    </row>
    <row r="219" spans="2:6" x14ac:dyDescent="0.25">
      <c r="C219" s="48"/>
    </row>
    <row r="220" spans="2:6" x14ac:dyDescent="0.25">
      <c r="C220" s="48"/>
    </row>
    <row r="221" spans="2:6" x14ac:dyDescent="0.25">
      <c r="C221" s="48"/>
    </row>
    <row r="222" spans="2:6" x14ac:dyDescent="0.25">
      <c r="C222" s="48"/>
    </row>
    <row r="223" spans="2:6" x14ac:dyDescent="0.25">
      <c r="C223" s="48"/>
    </row>
    <row r="224" spans="2:6" x14ac:dyDescent="0.25">
      <c r="C224" s="48"/>
    </row>
    <row r="225" spans="3:3" x14ac:dyDescent="0.25">
      <c r="C225" s="48"/>
    </row>
    <row r="226" spans="3:3" x14ac:dyDescent="0.25">
      <c r="C226" s="48"/>
    </row>
    <row r="227" spans="3:3" x14ac:dyDescent="0.25">
      <c r="C227" s="48"/>
    </row>
    <row r="228" spans="3:3" x14ac:dyDescent="0.25">
      <c r="C228" s="48"/>
    </row>
    <row r="229" spans="3:3" x14ac:dyDescent="0.25">
      <c r="C229" s="48"/>
    </row>
    <row r="230" spans="3:3" x14ac:dyDescent="0.25">
      <c r="C230" s="48"/>
    </row>
    <row r="231" spans="3:3" x14ac:dyDescent="0.25">
      <c r="C231" s="48"/>
    </row>
    <row r="232" spans="3:3" x14ac:dyDescent="0.25">
      <c r="C232" s="48"/>
    </row>
    <row r="233" spans="3:3" x14ac:dyDescent="0.25">
      <c r="C233" s="48"/>
    </row>
    <row r="234" spans="3:3" x14ac:dyDescent="0.25">
      <c r="C234" s="48"/>
    </row>
    <row r="235" spans="3:3" x14ac:dyDescent="0.25">
      <c r="C235" s="48"/>
    </row>
    <row r="236" spans="3:3" x14ac:dyDescent="0.25">
      <c r="C236" s="48"/>
    </row>
    <row r="237" spans="3:3" x14ac:dyDescent="0.25">
      <c r="C237" s="48"/>
    </row>
    <row r="238" spans="3:3" x14ac:dyDescent="0.25">
      <c r="C238" s="48"/>
    </row>
    <row r="239" spans="3:3" x14ac:dyDescent="0.25">
      <c r="C239" s="48"/>
    </row>
    <row r="240" spans="3:3" x14ac:dyDescent="0.25">
      <c r="C240" s="48"/>
    </row>
    <row r="241" spans="3:3" x14ac:dyDescent="0.25">
      <c r="C241" s="48"/>
    </row>
    <row r="242" spans="3:3" x14ac:dyDescent="0.25">
      <c r="C242" s="48"/>
    </row>
    <row r="243" spans="3:3" x14ac:dyDescent="0.25">
      <c r="C243" s="48"/>
    </row>
    <row r="244" spans="3:3" x14ac:dyDescent="0.25">
      <c r="C244" s="48"/>
    </row>
    <row r="245" spans="3:3" x14ac:dyDescent="0.25">
      <c r="C245" s="48"/>
    </row>
    <row r="246" spans="3:3" x14ac:dyDescent="0.25">
      <c r="C246" s="48"/>
    </row>
    <row r="247" spans="3:3" x14ac:dyDescent="0.25">
      <c r="C247" s="48"/>
    </row>
    <row r="248" spans="3:3" x14ac:dyDescent="0.25">
      <c r="C248" s="48"/>
    </row>
    <row r="249" spans="3:3" x14ac:dyDescent="0.25">
      <c r="C249" s="48"/>
    </row>
    <row r="250" spans="3:3" x14ac:dyDescent="0.25">
      <c r="C250" s="48"/>
    </row>
    <row r="251" spans="3:3" x14ac:dyDescent="0.25">
      <c r="C251" s="48"/>
    </row>
    <row r="252" spans="3:3" x14ac:dyDescent="0.25">
      <c r="C252" s="48"/>
    </row>
    <row r="253" spans="3:3" x14ac:dyDescent="0.25">
      <c r="C253" s="48"/>
    </row>
    <row r="254" spans="3:3" x14ac:dyDescent="0.25">
      <c r="C254" s="48"/>
    </row>
    <row r="255" spans="3:3" x14ac:dyDescent="0.25">
      <c r="C255" s="48"/>
    </row>
    <row r="256" spans="3:3" x14ac:dyDescent="0.25">
      <c r="C256" s="48"/>
    </row>
    <row r="257" spans="3:3" x14ac:dyDescent="0.25">
      <c r="C257" s="48"/>
    </row>
    <row r="258" spans="3:3" x14ac:dyDescent="0.25">
      <c r="C258" s="48"/>
    </row>
    <row r="259" spans="3:3" x14ac:dyDescent="0.25">
      <c r="C259" s="48"/>
    </row>
    <row r="260" spans="3:3" x14ac:dyDescent="0.25">
      <c r="C260" s="48"/>
    </row>
    <row r="261" spans="3:3" x14ac:dyDescent="0.25">
      <c r="C261" s="48"/>
    </row>
    <row r="262" spans="3:3" x14ac:dyDescent="0.25">
      <c r="C262" s="48"/>
    </row>
    <row r="263" spans="3:3" x14ac:dyDescent="0.25">
      <c r="C263" s="48"/>
    </row>
    <row r="264" spans="3:3" x14ac:dyDescent="0.25">
      <c r="C264" s="48"/>
    </row>
    <row r="265" spans="3:3" x14ac:dyDescent="0.25">
      <c r="C265" s="48"/>
    </row>
    <row r="266" spans="3:3" x14ac:dyDescent="0.25">
      <c r="C266" s="48"/>
    </row>
    <row r="267" spans="3:3" x14ac:dyDescent="0.25">
      <c r="C267" s="48"/>
    </row>
    <row r="268" spans="3:3" x14ac:dyDescent="0.25">
      <c r="C268" s="48"/>
    </row>
    <row r="269" spans="3:3" x14ac:dyDescent="0.25">
      <c r="C269" s="48"/>
    </row>
    <row r="270" spans="3:3" x14ac:dyDescent="0.25">
      <c r="C270" s="48"/>
    </row>
    <row r="271" spans="3:3" x14ac:dyDescent="0.25">
      <c r="C271" s="48"/>
    </row>
    <row r="272" spans="3:3" x14ac:dyDescent="0.25">
      <c r="C272" s="48"/>
    </row>
    <row r="273" spans="3:3" x14ac:dyDescent="0.25">
      <c r="C273" s="48"/>
    </row>
    <row r="274" spans="3:3" x14ac:dyDescent="0.25">
      <c r="C274" s="48"/>
    </row>
    <row r="275" spans="3:3" x14ac:dyDescent="0.25">
      <c r="C275" s="48"/>
    </row>
    <row r="276" spans="3:3" x14ac:dyDescent="0.25">
      <c r="C276" s="48"/>
    </row>
    <row r="277" spans="3:3" x14ac:dyDescent="0.25">
      <c r="C277" s="48"/>
    </row>
    <row r="278" spans="3:3" x14ac:dyDescent="0.25">
      <c r="C278" s="48"/>
    </row>
    <row r="279" spans="3:3" x14ac:dyDescent="0.25">
      <c r="C279" s="48"/>
    </row>
    <row r="280" spans="3:3" x14ac:dyDescent="0.25">
      <c r="C280" s="48"/>
    </row>
    <row r="281" spans="3:3" x14ac:dyDescent="0.25">
      <c r="C281" s="48"/>
    </row>
    <row r="282" spans="3:3" x14ac:dyDescent="0.25">
      <c r="C282" s="48"/>
    </row>
    <row r="283" spans="3:3" x14ac:dyDescent="0.25">
      <c r="C283" s="48"/>
    </row>
    <row r="284" spans="3:3" x14ac:dyDescent="0.25">
      <c r="C284" s="48"/>
    </row>
    <row r="285" spans="3:3" x14ac:dyDescent="0.25">
      <c r="C285" s="48"/>
    </row>
    <row r="286" spans="3:3" x14ac:dyDescent="0.25">
      <c r="C286" s="48"/>
    </row>
    <row r="287" spans="3:3" x14ac:dyDescent="0.25">
      <c r="C287" s="48"/>
    </row>
    <row r="65582" spans="6:6" x14ac:dyDescent="0.25">
      <c r="F65582" s="43"/>
    </row>
  </sheetData>
  <mergeCells count="15">
    <mergeCell ref="A90:E90"/>
    <mergeCell ref="A96:E96"/>
    <mergeCell ref="A115:E115"/>
    <mergeCell ref="A124:E124"/>
    <mergeCell ref="A44:E44"/>
    <mergeCell ref="A51:E51"/>
    <mergeCell ref="A54:E54"/>
    <mergeCell ref="A65:E65"/>
    <mergeCell ref="A75:E75"/>
    <mergeCell ref="A85:E85"/>
    <mergeCell ref="A27:E27"/>
    <mergeCell ref="A1:E1"/>
    <mergeCell ref="A2:E2"/>
    <mergeCell ref="A19:E19"/>
    <mergeCell ref="A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J10"/>
  <sheetViews>
    <sheetView workbookViewId="0">
      <selection activeCell="A9" sqref="A9:H9"/>
    </sheetView>
  </sheetViews>
  <sheetFormatPr defaultRowHeight="15" x14ac:dyDescent="0.25"/>
  <cols>
    <col min="1" max="7" width="9.140625" style="131"/>
    <col min="8" max="8" width="3.85546875" style="131" bestFit="1" customWidth="1"/>
    <col min="9" max="9" width="9.5703125" style="131" bestFit="1" customWidth="1"/>
    <col min="10" max="10" width="9.140625" style="131"/>
  </cols>
  <sheetData>
    <row r="1" spans="1:10" ht="30.75" thickBot="1" x14ac:dyDescent="0.3">
      <c r="A1" s="718" t="s">
        <v>2213</v>
      </c>
      <c r="B1" s="719"/>
      <c r="C1" s="719"/>
      <c r="D1" s="719"/>
      <c r="E1" s="719"/>
      <c r="F1" s="719"/>
      <c r="G1" s="719"/>
      <c r="H1" s="719"/>
      <c r="I1" s="719"/>
      <c r="J1" s="720"/>
    </row>
    <row r="2" spans="1:10" ht="15.75" thickBot="1" x14ac:dyDescent="0.3"/>
    <row r="3" spans="1:10" ht="18" thickBot="1" x14ac:dyDescent="0.3">
      <c r="A3" s="721" t="s">
        <v>823</v>
      </c>
      <c r="B3" s="722"/>
      <c r="C3" s="722"/>
      <c r="D3" s="722"/>
      <c r="E3" s="722"/>
      <c r="F3" s="722"/>
      <c r="G3" s="722"/>
      <c r="H3" s="372">
        <v>50</v>
      </c>
      <c r="I3" s="373" t="s">
        <v>99</v>
      </c>
      <c r="J3" s="139" t="s">
        <v>5</v>
      </c>
    </row>
    <row r="4" spans="1:10" x14ac:dyDescent="0.25">
      <c r="A4" s="723" t="s">
        <v>615</v>
      </c>
      <c r="B4" s="724"/>
      <c r="C4" s="724"/>
      <c r="D4" s="724"/>
      <c r="E4" s="724"/>
      <c r="F4" s="724"/>
      <c r="G4" s="724"/>
      <c r="H4" s="724"/>
      <c r="I4" s="374">
        <v>225</v>
      </c>
      <c r="J4" s="142" t="s">
        <v>159</v>
      </c>
    </row>
    <row r="5" spans="1:10" x14ac:dyDescent="0.25">
      <c r="A5" s="714" t="s">
        <v>611</v>
      </c>
      <c r="B5" s="715"/>
      <c r="C5" s="715"/>
      <c r="D5" s="715"/>
      <c r="E5" s="715"/>
      <c r="F5" s="715"/>
      <c r="G5" s="715"/>
      <c r="H5" s="715"/>
      <c r="I5" s="160">
        <v>18.348000000000003</v>
      </c>
      <c r="J5" s="143" t="s">
        <v>160</v>
      </c>
    </row>
    <row r="6" spans="1:10" ht="15.75" thickBot="1" x14ac:dyDescent="0.3">
      <c r="A6" s="714" t="s">
        <v>609</v>
      </c>
      <c r="B6" s="715"/>
      <c r="C6" s="715"/>
      <c r="D6" s="715"/>
      <c r="E6" s="715"/>
      <c r="F6" s="715"/>
      <c r="G6" s="715"/>
      <c r="H6" s="715"/>
      <c r="I6" s="160">
        <v>18.348000000000003</v>
      </c>
      <c r="J6" s="143" t="s">
        <v>160</v>
      </c>
    </row>
    <row r="7" spans="1:10" x14ac:dyDescent="0.25">
      <c r="A7" s="714" t="s">
        <v>2214</v>
      </c>
      <c r="B7" s="715"/>
      <c r="C7" s="715"/>
      <c r="D7" s="715"/>
      <c r="E7" s="715"/>
      <c r="F7" s="715"/>
      <c r="G7" s="715"/>
      <c r="H7" s="715"/>
      <c r="I7" s="160">
        <v>241</v>
      </c>
      <c r="J7" s="142" t="s">
        <v>159</v>
      </c>
    </row>
    <row r="8" spans="1:10" ht="15.75" thickBot="1" x14ac:dyDescent="0.3">
      <c r="A8" s="714" t="s">
        <v>617</v>
      </c>
      <c r="B8" s="715"/>
      <c r="C8" s="715"/>
      <c r="D8" s="715"/>
      <c r="E8" s="715"/>
      <c r="F8" s="715"/>
      <c r="G8" s="715"/>
      <c r="H8" s="715"/>
      <c r="I8" s="160">
        <v>712</v>
      </c>
      <c r="J8" s="143" t="s">
        <v>92</v>
      </c>
    </row>
    <row r="9" spans="1:10" ht="33.75" customHeight="1" thickBot="1" x14ac:dyDescent="0.3">
      <c r="A9" s="716" t="s">
        <v>2215</v>
      </c>
      <c r="B9" s="717"/>
      <c r="C9" s="717"/>
      <c r="D9" s="717"/>
      <c r="E9" s="717"/>
      <c r="F9" s="717"/>
      <c r="G9" s="717"/>
      <c r="H9" s="717"/>
      <c r="I9" s="375">
        <v>180</v>
      </c>
      <c r="J9" s="142" t="s">
        <v>159</v>
      </c>
    </row>
    <row r="10" spans="1:10" x14ac:dyDescent="0.25">
      <c r="A10" s="137"/>
      <c r="B10" s="137"/>
      <c r="C10" s="137"/>
      <c r="D10" s="137"/>
      <c r="E10" s="137"/>
      <c r="F10" s="137"/>
      <c r="G10" s="137"/>
      <c r="H10" s="137"/>
    </row>
  </sheetData>
  <mergeCells count="8">
    <mergeCell ref="A8:H8"/>
    <mergeCell ref="A9:H9"/>
    <mergeCell ref="A1:J1"/>
    <mergeCell ref="A3:G3"/>
    <mergeCell ref="A4:H4"/>
    <mergeCell ref="A5:H5"/>
    <mergeCell ref="A6:H6"/>
    <mergeCell ref="A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E202"/>
  <sheetViews>
    <sheetView zoomScale="70" zoomScaleNormal="70" workbookViewId="0">
      <selection sqref="A1:C1"/>
    </sheetView>
  </sheetViews>
  <sheetFormatPr defaultRowHeight="15.75" x14ac:dyDescent="0.25"/>
  <cols>
    <col min="1" max="1" width="61.42578125" style="65" customWidth="1"/>
    <col min="2" max="2" width="11" style="64" customWidth="1"/>
    <col min="3" max="3" width="12.42578125" style="447" customWidth="1"/>
    <col min="5" max="5" width="9.140625" customWidth="1"/>
  </cols>
  <sheetData>
    <row r="1" spans="1:3" x14ac:dyDescent="0.25">
      <c r="A1" s="726"/>
      <c r="B1" s="726"/>
      <c r="C1" s="726"/>
    </row>
    <row r="2" spans="1:3" x14ac:dyDescent="0.25">
      <c r="A2" s="727"/>
      <c r="B2" s="727"/>
      <c r="C2" s="727"/>
    </row>
    <row r="3" spans="1:3" ht="15.75" customHeight="1" x14ac:dyDescent="0.25">
      <c r="A3" s="728" t="s">
        <v>1991</v>
      </c>
      <c r="B3" s="728"/>
      <c r="C3" s="728"/>
    </row>
    <row r="4" spans="1:3" ht="15.75" customHeight="1" x14ac:dyDescent="0.25">
      <c r="A4" s="729" t="s">
        <v>328</v>
      </c>
      <c r="B4" s="729"/>
      <c r="C4" s="729"/>
    </row>
    <row r="5" spans="1:3" ht="31.5" x14ac:dyDescent="0.25">
      <c r="A5" s="356" t="s">
        <v>1992</v>
      </c>
      <c r="B5" s="358" t="s">
        <v>56</v>
      </c>
      <c r="C5" s="354">
        <v>4</v>
      </c>
    </row>
    <row r="6" spans="1:3" ht="15.75" customHeight="1" x14ac:dyDescent="0.25">
      <c r="A6" s="356" t="s">
        <v>2078</v>
      </c>
      <c r="B6" s="358" t="s">
        <v>56</v>
      </c>
      <c r="C6" s="354">
        <v>1</v>
      </c>
    </row>
    <row r="7" spans="1:3" x14ac:dyDescent="0.25">
      <c r="A7" s="356" t="s">
        <v>2077</v>
      </c>
      <c r="B7" s="358" t="s">
        <v>56</v>
      </c>
      <c r="C7" s="354">
        <v>2</v>
      </c>
    </row>
    <row r="8" spans="1:3" ht="31.5" customHeight="1" x14ac:dyDescent="0.25">
      <c r="A8" s="356" t="s">
        <v>2079</v>
      </c>
      <c r="B8" s="358" t="s">
        <v>56</v>
      </c>
      <c r="C8" s="354">
        <v>1</v>
      </c>
    </row>
    <row r="9" spans="1:3" ht="31.5" x14ac:dyDescent="0.25">
      <c r="A9" s="490" t="s">
        <v>3008</v>
      </c>
      <c r="B9" s="358" t="s">
        <v>56</v>
      </c>
      <c r="C9" s="354">
        <v>2</v>
      </c>
    </row>
    <row r="10" spans="1:3" x14ac:dyDescent="0.25">
      <c r="A10" s="490" t="s">
        <v>3013</v>
      </c>
      <c r="B10" s="354" t="s">
        <v>5</v>
      </c>
      <c r="C10" s="354">
        <v>1</v>
      </c>
    </row>
    <row r="11" spans="1:3" x14ac:dyDescent="0.25">
      <c r="A11" s="490" t="s">
        <v>3014</v>
      </c>
      <c r="B11" s="354" t="s">
        <v>5</v>
      </c>
      <c r="C11" s="354">
        <v>1</v>
      </c>
    </row>
    <row r="12" spans="1:3" ht="31.5" x14ac:dyDescent="0.25">
      <c r="A12" s="490" t="s">
        <v>3010</v>
      </c>
      <c r="B12" s="354" t="s">
        <v>5</v>
      </c>
      <c r="C12" s="354">
        <v>9</v>
      </c>
    </row>
    <row r="13" spans="1:3" x14ac:dyDescent="0.25">
      <c r="A13" s="356" t="s">
        <v>1993</v>
      </c>
      <c r="B13" s="358" t="s">
        <v>56</v>
      </c>
      <c r="C13" s="354">
        <v>9</v>
      </c>
    </row>
    <row r="14" spans="1:3" x14ac:dyDescent="0.25">
      <c r="A14" s="490" t="s">
        <v>3011</v>
      </c>
      <c r="B14" s="354" t="s">
        <v>5</v>
      </c>
      <c r="C14" s="354">
        <v>3</v>
      </c>
    </row>
    <row r="15" spans="1:3" x14ac:dyDescent="0.25">
      <c r="A15" s="356" t="s">
        <v>1996</v>
      </c>
      <c r="B15" s="358" t="s">
        <v>56</v>
      </c>
      <c r="C15" s="354">
        <v>16</v>
      </c>
    </row>
    <row r="16" spans="1:3" x14ac:dyDescent="0.25">
      <c r="A16" s="490" t="s">
        <v>3012</v>
      </c>
      <c r="B16" s="354" t="s">
        <v>99</v>
      </c>
      <c r="C16" s="354">
        <v>3.54</v>
      </c>
    </row>
    <row r="17" spans="1:3" x14ac:dyDescent="0.25">
      <c r="A17" s="356" t="s">
        <v>1998</v>
      </c>
      <c r="B17" s="358" t="s">
        <v>99</v>
      </c>
      <c r="C17" s="354">
        <v>158.13</v>
      </c>
    </row>
    <row r="18" spans="1:3" x14ac:dyDescent="0.25">
      <c r="A18" s="490" t="s">
        <v>3009</v>
      </c>
      <c r="B18" s="354" t="s">
        <v>5</v>
      </c>
      <c r="C18" s="354">
        <v>1</v>
      </c>
    </row>
    <row r="19" spans="1:3" x14ac:dyDescent="0.25">
      <c r="A19" s="525"/>
      <c r="B19" s="354"/>
      <c r="C19" s="354"/>
    </row>
    <row r="20" spans="1:3" ht="15.75" customHeight="1" x14ac:dyDescent="0.25">
      <c r="A20" s="525"/>
      <c r="B20" s="354"/>
      <c r="C20" s="354"/>
    </row>
    <row r="21" spans="1:3" x14ac:dyDescent="0.25">
      <c r="A21" s="730"/>
      <c r="B21" s="730"/>
      <c r="C21" s="730"/>
    </row>
    <row r="22" spans="1:3" x14ac:dyDescent="0.25">
      <c r="A22" s="359" t="s">
        <v>329</v>
      </c>
      <c r="B22" s="360"/>
      <c r="C22" s="352"/>
    </row>
    <row r="23" spans="1:3" x14ac:dyDescent="0.25">
      <c r="A23" s="490" t="s">
        <v>3015</v>
      </c>
      <c r="B23" s="354" t="s">
        <v>5</v>
      </c>
      <c r="C23" s="354">
        <v>3</v>
      </c>
    </row>
    <row r="24" spans="1:3" ht="15.75" customHeight="1" x14ac:dyDescent="0.25">
      <c r="A24" s="490" t="s">
        <v>3016</v>
      </c>
      <c r="B24" s="354" t="s">
        <v>5</v>
      </c>
      <c r="C24" s="354">
        <v>2</v>
      </c>
    </row>
    <row r="25" spans="1:3" x14ac:dyDescent="0.25">
      <c r="A25" s="490" t="s">
        <v>3017</v>
      </c>
      <c r="B25" s="354" t="s">
        <v>5</v>
      </c>
      <c r="C25" s="354">
        <v>5</v>
      </c>
    </row>
    <row r="26" spans="1:3" ht="31.5" x14ac:dyDescent="0.25">
      <c r="A26" s="490" t="s">
        <v>3018</v>
      </c>
      <c r="B26" s="354" t="s">
        <v>5</v>
      </c>
      <c r="C26" s="354">
        <v>23</v>
      </c>
    </row>
    <row r="27" spans="1:3" x14ac:dyDescent="0.25">
      <c r="A27" s="490" t="s">
        <v>3019</v>
      </c>
      <c r="B27" s="354" t="s">
        <v>5</v>
      </c>
      <c r="C27" s="354">
        <v>16</v>
      </c>
    </row>
    <row r="28" spans="1:3" x14ac:dyDescent="0.25">
      <c r="A28" s="490" t="s">
        <v>3022</v>
      </c>
      <c r="B28" s="354" t="s">
        <v>5</v>
      </c>
      <c r="C28" s="354">
        <v>10</v>
      </c>
    </row>
    <row r="29" spans="1:3" x14ac:dyDescent="0.25">
      <c r="A29" s="490" t="s">
        <v>3021</v>
      </c>
      <c r="B29" s="354" t="s">
        <v>5</v>
      </c>
      <c r="C29" s="354">
        <v>3</v>
      </c>
    </row>
    <row r="30" spans="1:3" ht="31.5" x14ac:dyDescent="0.25">
      <c r="A30" s="490" t="s">
        <v>3023</v>
      </c>
      <c r="B30" s="354" t="s">
        <v>5</v>
      </c>
      <c r="C30" s="354">
        <v>2</v>
      </c>
    </row>
    <row r="31" spans="1:3" ht="31.5" x14ac:dyDescent="0.25">
      <c r="A31" s="490" t="s">
        <v>1999</v>
      </c>
      <c r="B31" s="354" t="s">
        <v>5</v>
      </c>
      <c r="C31" s="354">
        <v>3</v>
      </c>
    </row>
    <row r="32" spans="1:3" ht="31.5" x14ac:dyDescent="0.25">
      <c r="A32" s="490" t="s">
        <v>2000</v>
      </c>
      <c r="B32" s="354" t="s">
        <v>5</v>
      </c>
      <c r="C32" s="354">
        <f>32+8</f>
        <v>40</v>
      </c>
    </row>
    <row r="33" spans="1:3" ht="31.5" x14ac:dyDescent="0.25">
      <c r="A33" s="490" t="s">
        <v>3020</v>
      </c>
      <c r="B33" s="354" t="s">
        <v>5</v>
      </c>
      <c r="C33" s="354">
        <v>4</v>
      </c>
    </row>
    <row r="34" spans="1:3" ht="31.5" x14ac:dyDescent="0.25">
      <c r="A34" s="490" t="s">
        <v>3024</v>
      </c>
      <c r="B34" s="354" t="s">
        <v>5</v>
      </c>
      <c r="C34" s="354">
        <f>28+14</f>
        <v>42</v>
      </c>
    </row>
    <row r="35" spans="1:3" ht="31.5" x14ac:dyDescent="0.25">
      <c r="A35" s="490" t="s">
        <v>2001</v>
      </c>
      <c r="B35" s="354" t="s">
        <v>5</v>
      </c>
      <c r="C35" s="354">
        <f>4+6</f>
        <v>10</v>
      </c>
    </row>
    <row r="36" spans="1:3" ht="31.5" x14ac:dyDescent="0.25">
      <c r="A36" s="490" t="s">
        <v>3025</v>
      </c>
      <c r="B36" s="354" t="s">
        <v>5</v>
      </c>
      <c r="C36" s="354">
        <v>6</v>
      </c>
    </row>
    <row r="37" spans="1:3" ht="31.5" x14ac:dyDescent="0.25">
      <c r="A37" s="490" t="s">
        <v>3026</v>
      </c>
      <c r="B37" s="354" t="s">
        <v>5</v>
      </c>
      <c r="C37" s="354">
        <v>4</v>
      </c>
    </row>
    <row r="38" spans="1:3" x14ac:dyDescent="0.25">
      <c r="A38" s="490" t="s">
        <v>3027</v>
      </c>
      <c r="B38" s="354" t="s">
        <v>5</v>
      </c>
      <c r="C38" s="354">
        <f>9+10</f>
        <v>19</v>
      </c>
    </row>
    <row r="39" spans="1:3" x14ac:dyDescent="0.25">
      <c r="A39" s="490" t="s">
        <v>3028</v>
      </c>
      <c r="B39" s="354" t="s">
        <v>5</v>
      </c>
      <c r="C39" s="354">
        <v>1</v>
      </c>
    </row>
    <row r="40" spans="1:3" x14ac:dyDescent="0.25">
      <c r="A40" s="490" t="s">
        <v>3032</v>
      </c>
      <c r="B40" s="354" t="s">
        <v>5</v>
      </c>
      <c r="C40" s="354">
        <v>2</v>
      </c>
    </row>
    <row r="41" spans="1:3" x14ac:dyDescent="0.25">
      <c r="A41" s="490" t="s">
        <v>3166</v>
      </c>
      <c r="B41" s="354" t="s">
        <v>5</v>
      </c>
      <c r="C41" s="354">
        <f>15+7</f>
        <v>22</v>
      </c>
    </row>
    <row r="42" spans="1:3" x14ac:dyDescent="0.25">
      <c r="A42" s="490" t="s">
        <v>3029</v>
      </c>
      <c r="B42" s="354" t="s">
        <v>5</v>
      </c>
      <c r="C42" s="354">
        <v>8</v>
      </c>
    </row>
    <row r="43" spans="1:3" x14ac:dyDescent="0.25">
      <c r="A43" s="490" t="s">
        <v>3030</v>
      </c>
      <c r="B43" s="354" t="s">
        <v>5</v>
      </c>
      <c r="C43" s="354">
        <v>6</v>
      </c>
    </row>
    <row r="44" spans="1:3" x14ac:dyDescent="0.25">
      <c r="A44" s="490" t="s">
        <v>3031</v>
      </c>
      <c r="B44" s="354" t="s">
        <v>5</v>
      </c>
      <c r="C44" s="354">
        <v>3</v>
      </c>
    </row>
    <row r="45" spans="1:3" x14ac:dyDescent="0.25">
      <c r="A45" s="357" t="s">
        <v>2002</v>
      </c>
      <c r="B45" s="354" t="s">
        <v>56</v>
      </c>
      <c r="C45" s="354">
        <v>2</v>
      </c>
    </row>
    <row r="46" spans="1:3" x14ac:dyDescent="0.25">
      <c r="A46" s="490" t="s">
        <v>3033</v>
      </c>
      <c r="B46" s="354" t="s">
        <v>5</v>
      </c>
      <c r="C46" s="354">
        <v>1</v>
      </c>
    </row>
    <row r="47" spans="1:3" x14ac:dyDescent="0.25">
      <c r="A47" s="490" t="s">
        <v>1995</v>
      </c>
      <c r="B47" s="354" t="s">
        <v>5</v>
      </c>
      <c r="C47" s="354">
        <f>37+7</f>
        <v>44</v>
      </c>
    </row>
    <row r="48" spans="1:3" x14ac:dyDescent="0.25">
      <c r="A48" s="490" t="s">
        <v>2003</v>
      </c>
      <c r="B48" s="354" t="s">
        <v>5</v>
      </c>
      <c r="C48" s="354">
        <f>26+5</f>
        <v>31</v>
      </c>
    </row>
    <row r="49" spans="1:3" x14ac:dyDescent="0.25">
      <c r="A49" s="490" t="s">
        <v>2004</v>
      </c>
      <c r="B49" s="354" t="s">
        <v>5</v>
      </c>
      <c r="C49" s="354">
        <f>6+9</f>
        <v>15</v>
      </c>
    </row>
    <row r="50" spans="1:3" x14ac:dyDescent="0.25">
      <c r="A50" s="490" t="s">
        <v>2005</v>
      </c>
      <c r="B50" s="354" t="s">
        <v>5</v>
      </c>
      <c r="C50" s="354">
        <v>10</v>
      </c>
    </row>
    <row r="51" spans="1:3" x14ac:dyDescent="0.25">
      <c r="A51" s="490" t="s">
        <v>2006</v>
      </c>
      <c r="B51" s="354" t="s">
        <v>5</v>
      </c>
      <c r="C51" s="354">
        <v>12</v>
      </c>
    </row>
    <row r="52" spans="1:3" x14ac:dyDescent="0.25">
      <c r="A52" s="490" t="s">
        <v>3034</v>
      </c>
      <c r="B52" s="354" t="s">
        <v>99</v>
      </c>
      <c r="C52" s="354">
        <v>1.1499999999999999</v>
      </c>
    </row>
    <row r="53" spans="1:3" x14ac:dyDescent="0.25">
      <c r="A53" s="490" t="s">
        <v>3035</v>
      </c>
      <c r="B53" s="354" t="s">
        <v>99</v>
      </c>
      <c r="C53" s="354">
        <f>82.81+15.7</f>
        <v>98.51</v>
      </c>
    </row>
    <row r="54" spans="1:3" ht="31.5" x14ac:dyDescent="0.25">
      <c r="A54" s="490" t="s">
        <v>3036</v>
      </c>
      <c r="B54" s="354" t="s">
        <v>5</v>
      </c>
      <c r="C54" s="354">
        <v>4</v>
      </c>
    </row>
    <row r="55" spans="1:3" x14ac:dyDescent="0.25">
      <c r="A55" s="490" t="s">
        <v>2007</v>
      </c>
      <c r="B55" s="354" t="s">
        <v>99</v>
      </c>
      <c r="C55" s="354">
        <f>81.28+20.9</f>
        <v>102.18</v>
      </c>
    </row>
    <row r="56" spans="1:3" ht="31.5" customHeight="1" x14ac:dyDescent="0.25">
      <c r="A56" s="490" t="s">
        <v>2008</v>
      </c>
      <c r="B56" s="354" t="s">
        <v>99</v>
      </c>
      <c r="C56" s="354">
        <f>22.57+11.73</f>
        <v>34.299999999999997</v>
      </c>
    </row>
    <row r="57" spans="1:3" ht="31.5" customHeight="1" x14ac:dyDescent="0.25">
      <c r="A57" s="490" t="s">
        <v>2009</v>
      </c>
      <c r="B57" s="354" t="s">
        <v>99</v>
      </c>
      <c r="C57" s="354">
        <v>22.34</v>
      </c>
    </row>
    <row r="58" spans="1:3" x14ac:dyDescent="0.25">
      <c r="A58" s="490" t="s">
        <v>2010</v>
      </c>
      <c r="B58" s="354" t="s">
        <v>99</v>
      </c>
      <c r="C58" s="354">
        <f>105.64+15.16</f>
        <v>120.8</v>
      </c>
    </row>
    <row r="59" spans="1:3" x14ac:dyDescent="0.25">
      <c r="A59" s="490" t="s">
        <v>2011</v>
      </c>
      <c r="B59" s="354" t="s">
        <v>5</v>
      </c>
      <c r="C59" s="354">
        <v>7</v>
      </c>
    </row>
    <row r="60" spans="1:3" x14ac:dyDescent="0.25">
      <c r="A60" s="490" t="s">
        <v>2012</v>
      </c>
      <c r="B60" s="354" t="s">
        <v>5</v>
      </c>
      <c r="C60" s="354">
        <v>7</v>
      </c>
    </row>
    <row r="61" spans="1:3" x14ac:dyDescent="0.25">
      <c r="A61" s="490" t="s">
        <v>2013</v>
      </c>
      <c r="B61" s="354" t="s">
        <v>5</v>
      </c>
      <c r="C61" s="354">
        <f>8+5</f>
        <v>13</v>
      </c>
    </row>
    <row r="62" spans="1:3" ht="31.5" customHeight="1" x14ac:dyDescent="0.25">
      <c r="A62" s="490" t="s">
        <v>2014</v>
      </c>
      <c r="B62" s="354" t="s">
        <v>5</v>
      </c>
      <c r="C62" s="354">
        <v>2</v>
      </c>
    </row>
    <row r="63" spans="1:3" ht="31.5" customHeight="1" x14ac:dyDescent="0.25">
      <c r="A63" s="490" t="s">
        <v>2015</v>
      </c>
      <c r="B63" s="354" t="s">
        <v>5</v>
      </c>
      <c r="C63" s="354">
        <v>2</v>
      </c>
    </row>
    <row r="64" spans="1:3" ht="31.5" customHeight="1" x14ac:dyDescent="0.25">
      <c r="A64" s="490" t="s">
        <v>2016</v>
      </c>
      <c r="B64" s="354" t="s">
        <v>5</v>
      </c>
      <c r="C64" s="354">
        <v>9</v>
      </c>
    </row>
    <row r="65" spans="1:3" ht="31.5" customHeight="1" x14ac:dyDescent="0.25">
      <c r="A65" s="490" t="s">
        <v>3039</v>
      </c>
      <c r="B65" s="354" t="s">
        <v>5</v>
      </c>
      <c r="C65" s="354">
        <v>5</v>
      </c>
    </row>
    <row r="66" spans="1:3" ht="31.5" customHeight="1" x14ac:dyDescent="0.25">
      <c r="A66" s="490" t="s">
        <v>3037</v>
      </c>
      <c r="B66" s="354" t="s">
        <v>5</v>
      </c>
      <c r="C66" s="354">
        <v>1</v>
      </c>
    </row>
    <row r="67" spans="1:3" ht="31.5" customHeight="1" x14ac:dyDescent="0.25">
      <c r="A67" s="490" t="s">
        <v>3040</v>
      </c>
      <c r="B67" s="354" t="s">
        <v>5</v>
      </c>
      <c r="C67" s="354">
        <v>10</v>
      </c>
    </row>
    <row r="68" spans="1:3" ht="31.5" customHeight="1" x14ac:dyDescent="0.25">
      <c r="A68" s="357" t="s">
        <v>2017</v>
      </c>
      <c r="B68" s="156" t="s">
        <v>56</v>
      </c>
      <c r="C68" s="352">
        <v>3</v>
      </c>
    </row>
    <row r="69" spans="1:3" ht="31.5" customHeight="1" x14ac:dyDescent="0.25">
      <c r="A69" s="357" t="s">
        <v>2018</v>
      </c>
      <c r="B69" s="354" t="s">
        <v>56</v>
      </c>
      <c r="C69" s="354">
        <v>19</v>
      </c>
    </row>
    <row r="70" spans="1:3" ht="31.5" x14ac:dyDescent="0.25">
      <c r="A70" s="357" t="s">
        <v>2019</v>
      </c>
      <c r="B70" s="354" t="s">
        <v>56</v>
      </c>
      <c r="C70" s="354">
        <v>17</v>
      </c>
    </row>
    <row r="71" spans="1:3" ht="31.5" x14ac:dyDescent="0.25">
      <c r="A71" s="357" t="s">
        <v>2020</v>
      </c>
      <c r="B71" s="354" t="s">
        <v>56</v>
      </c>
      <c r="C71" s="354">
        <v>3</v>
      </c>
    </row>
    <row r="72" spans="1:3" ht="31.5" x14ac:dyDescent="0.25">
      <c r="A72" s="357" t="s">
        <v>2021</v>
      </c>
      <c r="B72" s="354" t="s">
        <v>56</v>
      </c>
      <c r="C72" s="354">
        <v>25</v>
      </c>
    </row>
    <row r="73" spans="1:3" ht="31.5" x14ac:dyDescent="0.25">
      <c r="A73" s="357" t="s">
        <v>2022</v>
      </c>
      <c r="B73" s="354" t="s">
        <v>56</v>
      </c>
      <c r="C73" s="354">
        <v>4</v>
      </c>
    </row>
    <row r="74" spans="1:3" ht="31.5" customHeight="1" x14ac:dyDescent="0.25">
      <c r="A74" s="490" t="s">
        <v>3038</v>
      </c>
      <c r="B74" s="354" t="s">
        <v>5</v>
      </c>
      <c r="C74" s="354">
        <v>1</v>
      </c>
    </row>
    <row r="75" spans="1:3" x14ac:dyDescent="0.25">
      <c r="A75" s="725"/>
      <c r="B75" s="725"/>
      <c r="C75" s="725"/>
    </row>
    <row r="76" spans="1:3" x14ac:dyDescent="0.25">
      <c r="A76" s="353" t="s">
        <v>320</v>
      </c>
      <c r="B76" s="354"/>
      <c r="C76" s="354"/>
    </row>
    <row r="77" spans="1:3" ht="31.5" customHeight="1" x14ac:dyDescent="0.25">
      <c r="A77" s="494" t="s">
        <v>2023</v>
      </c>
      <c r="B77" s="354" t="s">
        <v>56</v>
      </c>
      <c r="C77" s="354">
        <v>1</v>
      </c>
    </row>
    <row r="78" spans="1:3" x14ac:dyDescent="0.25">
      <c r="A78" s="494" t="s">
        <v>2024</v>
      </c>
      <c r="B78" s="492" t="s">
        <v>56</v>
      </c>
      <c r="C78" s="492">
        <v>2</v>
      </c>
    </row>
    <row r="79" spans="1:3" x14ac:dyDescent="0.25">
      <c r="A79" s="491" t="s">
        <v>3167</v>
      </c>
      <c r="B79" s="492" t="s">
        <v>5</v>
      </c>
      <c r="C79" s="492">
        <v>1</v>
      </c>
    </row>
    <row r="80" spans="1:3" ht="15.75" customHeight="1" x14ac:dyDescent="0.25">
      <c r="A80" s="491" t="s">
        <v>3041</v>
      </c>
      <c r="B80" s="354" t="s">
        <v>56</v>
      </c>
      <c r="C80" s="354">
        <v>1</v>
      </c>
    </row>
    <row r="81" spans="1:3" x14ac:dyDescent="0.25">
      <c r="A81" s="494" t="s">
        <v>2640</v>
      </c>
      <c r="B81" s="492" t="s">
        <v>56</v>
      </c>
      <c r="C81" s="354">
        <v>3</v>
      </c>
    </row>
    <row r="82" spans="1:3" ht="15.75" customHeight="1" x14ac:dyDescent="0.25">
      <c r="A82" s="494" t="s">
        <v>2641</v>
      </c>
      <c r="B82" s="354" t="s">
        <v>56</v>
      </c>
      <c r="C82" s="354">
        <v>3</v>
      </c>
    </row>
    <row r="83" spans="1:3" ht="31.5" customHeight="1" x14ac:dyDescent="0.25">
      <c r="A83" s="725"/>
      <c r="B83" s="725"/>
      <c r="C83" s="725"/>
    </row>
    <row r="84" spans="1:3" ht="31.5" customHeight="1" x14ac:dyDescent="0.25">
      <c r="A84" s="353" t="s">
        <v>321</v>
      </c>
      <c r="B84" s="354"/>
      <c r="C84" s="354"/>
    </row>
    <row r="85" spans="1:3" ht="63" customHeight="1" x14ac:dyDescent="0.25">
      <c r="A85" s="494" t="s">
        <v>2025</v>
      </c>
      <c r="B85" s="354" t="s">
        <v>56</v>
      </c>
      <c r="C85" s="354">
        <v>8</v>
      </c>
    </row>
    <row r="86" spans="1:3" ht="31.5" x14ac:dyDescent="0.25">
      <c r="A86" s="494" t="s">
        <v>2026</v>
      </c>
      <c r="B86" s="354" t="s">
        <v>56</v>
      </c>
      <c r="C86" s="354">
        <v>8</v>
      </c>
    </row>
    <row r="87" spans="1:3" ht="47.25" x14ac:dyDescent="0.25">
      <c r="A87" s="494" t="s">
        <v>2027</v>
      </c>
      <c r="B87" s="354" t="s">
        <v>56</v>
      </c>
      <c r="C87" s="354">
        <v>3</v>
      </c>
    </row>
    <row r="88" spans="1:3" ht="31.5" customHeight="1" x14ac:dyDescent="0.25">
      <c r="A88" s="494" t="s">
        <v>2028</v>
      </c>
      <c r="B88" s="354" t="s">
        <v>56</v>
      </c>
      <c r="C88" s="354">
        <v>10</v>
      </c>
    </row>
    <row r="89" spans="1:3" ht="31.5" customHeight="1" x14ac:dyDescent="0.25">
      <c r="A89" s="494" t="s">
        <v>2029</v>
      </c>
      <c r="B89" s="354" t="s">
        <v>56</v>
      </c>
      <c r="C89" s="354">
        <v>10</v>
      </c>
    </row>
    <row r="90" spans="1:3" ht="47.25" customHeight="1" x14ac:dyDescent="0.25">
      <c r="A90" s="494" t="s">
        <v>2030</v>
      </c>
      <c r="B90" s="354" t="s">
        <v>56</v>
      </c>
      <c r="C90" s="354">
        <v>8</v>
      </c>
    </row>
    <row r="91" spans="1:3" x14ac:dyDescent="0.25">
      <c r="A91" s="357" t="s">
        <v>2031</v>
      </c>
      <c r="B91" s="354" t="s">
        <v>56</v>
      </c>
      <c r="C91" s="354">
        <v>2</v>
      </c>
    </row>
    <row r="92" spans="1:3" ht="15.75" customHeight="1" x14ac:dyDescent="0.25">
      <c r="A92" s="494" t="s">
        <v>2032</v>
      </c>
      <c r="B92" s="354" t="s">
        <v>56</v>
      </c>
      <c r="C92" s="354">
        <v>2</v>
      </c>
    </row>
    <row r="93" spans="1:3" x14ac:dyDescent="0.25">
      <c r="A93" s="725"/>
      <c r="B93" s="725"/>
      <c r="C93" s="725"/>
    </row>
    <row r="94" spans="1:3" ht="31.5" customHeight="1" x14ac:dyDescent="0.25">
      <c r="A94" s="353" t="s">
        <v>358</v>
      </c>
      <c r="B94" s="354"/>
      <c r="C94" s="354"/>
    </row>
    <row r="95" spans="1:3" ht="31.5" customHeight="1" x14ac:dyDescent="0.25">
      <c r="A95" s="494" t="s">
        <v>2025</v>
      </c>
      <c r="B95" s="354" t="s">
        <v>56</v>
      </c>
      <c r="C95" s="354">
        <v>4</v>
      </c>
    </row>
    <row r="96" spans="1:3" ht="31.5" x14ac:dyDescent="0.25">
      <c r="A96" s="494" t="s">
        <v>2026</v>
      </c>
      <c r="B96" s="354" t="s">
        <v>56</v>
      </c>
      <c r="C96" s="354">
        <v>4</v>
      </c>
    </row>
    <row r="97" spans="1:3" x14ac:dyDescent="0.25">
      <c r="A97" s="494" t="s">
        <v>2033</v>
      </c>
      <c r="B97" s="354" t="s">
        <v>56</v>
      </c>
      <c r="C97" s="354">
        <v>6</v>
      </c>
    </row>
    <row r="98" spans="1:3" ht="31.5" customHeight="1" x14ac:dyDescent="0.25">
      <c r="A98" s="494" t="s">
        <v>2028</v>
      </c>
      <c r="B98" s="354" t="s">
        <v>56</v>
      </c>
      <c r="C98" s="354">
        <v>4</v>
      </c>
    </row>
    <row r="99" spans="1:3" ht="31.5" x14ac:dyDescent="0.25">
      <c r="A99" s="494" t="s">
        <v>2034</v>
      </c>
      <c r="B99" s="354" t="s">
        <v>56</v>
      </c>
      <c r="C99" s="354">
        <v>4</v>
      </c>
    </row>
    <row r="100" spans="1:3" x14ac:dyDescent="0.25">
      <c r="A100" s="491" t="s">
        <v>3042</v>
      </c>
      <c r="B100" s="354" t="s">
        <v>5</v>
      </c>
      <c r="C100" s="354">
        <v>4</v>
      </c>
    </row>
    <row r="101" spans="1:3" ht="47.25" customHeight="1" x14ac:dyDescent="0.25">
      <c r="A101" s="357" t="s">
        <v>2035</v>
      </c>
      <c r="B101" s="354" t="s">
        <v>56</v>
      </c>
      <c r="C101" s="354">
        <v>2</v>
      </c>
    </row>
    <row r="102" spans="1:3" ht="31.5" x14ac:dyDescent="0.25">
      <c r="A102" s="494" t="s">
        <v>2032</v>
      </c>
      <c r="B102" s="354" t="s">
        <v>56</v>
      </c>
      <c r="C102" s="354">
        <v>2</v>
      </c>
    </row>
    <row r="103" spans="1:3" x14ac:dyDescent="0.25">
      <c r="A103" s="494"/>
      <c r="B103" s="354"/>
      <c r="C103" s="354"/>
    </row>
    <row r="104" spans="1:3" x14ac:dyDescent="0.25">
      <c r="A104" s="353" t="s">
        <v>322</v>
      </c>
      <c r="B104" s="354"/>
      <c r="C104" s="354"/>
    </row>
    <row r="105" spans="1:3" ht="63" x14ac:dyDescent="0.25">
      <c r="A105" s="494" t="s">
        <v>2036</v>
      </c>
      <c r="B105" s="354" t="s">
        <v>56</v>
      </c>
      <c r="C105" s="354">
        <v>2</v>
      </c>
    </row>
    <row r="106" spans="1:3" ht="47.25" x14ac:dyDescent="0.25">
      <c r="A106" s="494" t="s">
        <v>2037</v>
      </c>
      <c r="B106" s="354" t="s">
        <v>56</v>
      </c>
      <c r="C106" s="354">
        <v>2</v>
      </c>
    </row>
    <row r="107" spans="1:3" ht="47.25" customHeight="1" x14ac:dyDescent="0.25">
      <c r="A107" s="491" t="s">
        <v>3042</v>
      </c>
      <c r="B107" s="354" t="s">
        <v>5</v>
      </c>
      <c r="C107" s="354">
        <v>2</v>
      </c>
    </row>
    <row r="108" spans="1:3" ht="31.5" customHeight="1" x14ac:dyDescent="0.25">
      <c r="A108" s="357" t="s">
        <v>2035</v>
      </c>
      <c r="B108" s="354" t="s">
        <v>56</v>
      </c>
      <c r="C108" s="354">
        <v>2</v>
      </c>
    </row>
    <row r="109" spans="1:3" ht="31.5" x14ac:dyDescent="0.25">
      <c r="A109" s="494" t="s">
        <v>2032</v>
      </c>
      <c r="B109" s="354" t="s">
        <v>56</v>
      </c>
      <c r="C109" s="354">
        <v>2</v>
      </c>
    </row>
    <row r="110" spans="1:3" ht="15.75" customHeight="1" x14ac:dyDescent="0.25">
      <c r="A110" s="494" t="s">
        <v>3052</v>
      </c>
      <c r="B110" s="354" t="s">
        <v>56</v>
      </c>
      <c r="C110" s="354">
        <v>1</v>
      </c>
    </row>
    <row r="111" spans="1:3" x14ac:dyDescent="0.25">
      <c r="A111" s="725"/>
      <c r="B111" s="725"/>
      <c r="C111" s="725"/>
    </row>
    <row r="112" spans="1:3" x14ac:dyDescent="0.25">
      <c r="A112" s="353" t="s">
        <v>323</v>
      </c>
      <c r="B112" s="354"/>
      <c r="C112" s="354"/>
    </row>
    <row r="113" spans="1:3" ht="31.5" x14ac:dyDescent="0.25">
      <c r="A113" s="494" t="s">
        <v>2038</v>
      </c>
      <c r="B113" s="156" t="s">
        <v>56</v>
      </c>
      <c r="C113" s="352">
        <v>4</v>
      </c>
    </row>
    <row r="114" spans="1:3" ht="15.75" customHeight="1" x14ac:dyDescent="0.25">
      <c r="A114" s="494" t="s">
        <v>2039</v>
      </c>
      <c r="B114" s="354" t="s">
        <v>56</v>
      </c>
      <c r="C114" s="354">
        <v>2</v>
      </c>
    </row>
    <row r="115" spans="1:3" ht="15.75" customHeight="1" x14ac:dyDescent="0.25">
      <c r="A115" s="725"/>
      <c r="B115" s="725"/>
      <c r="C115" s="725"/>
    </row>
    <row r="116" spans="1:3" ht="31.5" x14ac:dyDescent="0.25">
      <c r="A116" s="353" t="s">
        <v>324</v>
      </c>
      <c r="B116" s="354"/>
      <c r="C116" s="354"/>
    </row>
    <row r="117" spans="1:3" ht="110.25" x14ac:dyDescent="0.25">
      <c r="A117" s="494" t="s">
        <v>2040</v>
      </c>
      <c r="B117" s="354" t="s">
        <v>56</v>
      </c>
      <c r="C117" s="354">
        <v>2</v>
      </c>
    </row>
    <row r="118" spans="1:3" ht="110.25" x14ac:dyDescent="0.25">
      <c r="A118" s="491" t="s">
        <v>3043</v>
      </c>
      <c r="B118" s="354" t="s">
        <v>56</v>
      </c>
      <c r="C118" s="354">
        <v>1</v>
      </c>
    </row>
    <row r="119" spans="1:3" ht="94.5" customHeight="1" x14ac:dyDescent="0.25">
      <c r="A119" s="491" t="s">
        <v>3044</v>
      </c>
      <c r="B119" s="354" t="s">
        <v>56</v>
      </c>
      <c r="C119" s="354">
        <v>1</v>
      </c>
    </row>
    <row r="120" spans="1:3" ht="31.5" x14ac:dyDescent="0.25">
      <c r="A120" s="494" t="s">
        <v>2041</v>
      </c>
      <c r="B120" s="354" t="s">
        <v>56</v>
      </c>
      <c r="C120" s="354">
        <v>13</v>
      </c>
    </row>
    <row r="121" spans="1:3" ht="63" x14ac:dyDescent="0.25">
      <c r="A121" s="357" t="s">
        <v>2036</v>
      </c>
      <c r="B121" s="354" t="s">
        <v>56</v>
      </c>
      <c r="C121" s="354">
        <v>1</v>
      </c>
    </row>
    <row r="122" spans="1:3" ht="31.5" x14ac:dyDescent="0.25">
      <c r="A122" s="494" t="s">
        <v>3053</v>
      </c>
      <c r="B122" s="354" t="s">
        <v>56</v>
      </c>
      <c r="C122" s="354">
        <v>1</v>
      </c>
    </row>
    <row r="123" spans="1:3" x14ac:dyDescent="0.25">
      <c r="A123" s="725"/>
      <c r="B123" s="725"/>
      <c r="C123" s="725"/>
    </row>
    <row r="124" spans="1:3" ht="47.25" customHeight="1" x14ac:dyDescent="0.25">
      <c r="A124" s="353" t="s">
        <v>325</v>
      </c>
      <c r="B124" s="354"/>
      <c r="C124" s="354"/>
    </row>
    <row r="125" spans="1:3" ht="63" x14ac:dyDescent="0.25">
      <c r="A125" s="357" t="s">
        <v>2036</v>
      </c>
      <c r="B125" s="354" t="s">
        <v>56</v>
      </c>
      <c r="C125" s="354">
        <v>2</v>
      </c>
    </row>
    <row r="126" spans="1:3" ht="47.25" x14ac:dyDescent="0.25">
      <c r="A126" s="357" t="s">
        <v>2037</v>
      </c>
      <c r="B126" s="354" t="s">
        <v>56</v>
      </c>
      <c r="C126" s="354">
        <v>2</v>
      </c>
    </row>
    <row r="127" spans="1:3" ht="15.75" customHeight="1" x14ac:dyDescent="0.25">
      <c r="A127" s="491" t="s">
        <v>3042</v>
      </c>
      <c r="B127" s="492" t="s">
        <v>5</v>
      </c>
      <c r="C127" s="492">
        <v>2</v>
      </c>
    </row>
    <row r="128" spans="1:3" ht="31.5" customHeight="1" x14ac:dyDescent="0.25">
      <c r="A128" s="494" t="s">
        <v>2033</v>
      </c>
      <c r="B128" s="354" t="s">
        <v>56</v>
      </c>
      <c r="C128" s="354">
        <v>2</v>
      </c>
    </row>
    <row r="129" spans="1:3" ht="47.25" customHeight="1" x14ac:dyDescent="0.25">
      <c r="A129" s="357" t="s">
        <v>2035</v>
      </c>
      <c r="B129" s="354" t="s">
        <v>56</v>
      </c>
      <c r="C129" s="354">
        <v>2</v>
      </c>
    </row>
    <row r="130" spans="1:3" ht="31.5" x14ac:dyDescent="0.25">
      <c r="A130" s="357" t="s">
        <v>2032</v>
      </c>
      <c r="B130" s="354" t="s">
        <v>56</v>
      </c>
      <c r="C130" s="354">
        <v>2</v>
      </c>
    </row>
    <row r="131" spans="1:3" ht="15.75" customHeight="1" x14ac:dyDescent="0.25">
      <c r="A131" s="725"/>
      <c r="B131" s="725"/>
      <c r="C131" s="725"/>
    </row>
    <row r="132" spans="1:3" x14ac:dyDescent="0.25">
      <c r="A132" s="353" t="s">
        <v>201</v>
      </c>
      <c r="B132" s="354"/>
      <c r="C132" s="354"/>
    </row>
    <row r="133" spans="1:3" ht="47.25" customHeight="1" x14ac:dyDescent="0.25">
      <c r="A133" s="494" t="s">
        <v>2042</v>
      </c>
      <c r="B133" s="354" t="s">
        <v>56</v>
      </c>
      <c r="C133" s="354">
        <v>4</v>
      </c>
    </row>
    <row r="134" spans="1:3" x14ac:dyDescent="0.25">
      <c r="A134" s="494" t="s">
        <v>2043</v>
      </c>
      <c r="B134" s="354" t="s">
        <v>5</v>
      </c>
      <c r="C134" s="354">
        <v>4</v>
      </c>
    </row>
    <row r="135" spans="1:3" ht="63" customHeight="1" x14ac:dyDescent="0.25">
      <c r="A135" s="494" t="s">
        <v>2044</v>
      </c>
      <c r="B135" s="492" t="s">
        <v>56</v>
      </c>
      <c r="C135" s="492">
        <v>4</v>
      </c>
    </row>
    <row r="136" spans="1:3" ht="47.25" customHeight="1" x14ac:dyDescent="0.25">
      <c r="A136" s="494" t="s">
        <v>2045</v>
      </c>
      <c r="B136" s="492" t="s">
        <v>56</v>
      </c>
      <c r="C136" s="492">
        <v>4</v>
      </c>
    </row>
    <row r="137" spans="1:3" x14ac:dyDescent="0.25">
      <c r="A137" s="490" t="s">
        <v>3042</v>
      </c>
      <c r="B137" s="354" t="s">
        <v>5</v>
      </c>
      <c r="C137" s="354">
        <v>4</v>
      </c>
    </row>
    <row r="138" spans="1:3" ht="31.5" customHeight="1" x14ac:dyDescent="0.25">
      <c r="A138" s="357" t="s">
        <v>2035</v>
      </c>
      <c r="B138" s="354" t="s">
        <v>56</v>
      </c>
      <c r="C138" s="354">
        <v>4</v>
      </c>
    </row>
    <row r="139" spans="1:3" x14ac:dyDescent="0.25">
      <c r="A139" s="494" t="s">
        <v>2033</v>
      </c>
      <c r="B139" s="354" t="s">
        <v>56</v>
      </c>
      <c r="C139" s="354">
        <v>2</v>
      </c>
    </row>
    <row r="140" spans="1:3" ht="31.5" customHeight="1" x14ac:dyDescent="0.25">
      <c r="A140" s="357" t="s">
        <v>2032</v>
      </c>
      <c r="B140" s="354" t="s">
        <v>56</v>
      </c>
      <c r="C140" s="354">
        <v>4</v>
      </c>
    </row>
    <row r="141" spans="1:3" ht="31.5" x14ac:dyDescent="0.25">
      <c r="A141" s="491" t="s">
        <v>3045</v>
      </c>
      <c r="B141" s="354" t="s">
        <v>5</v>
      </c>
      <c r="C141" s="354">
        <v>2</v>
      </c>
    </row>
    <row r="142" spans="1:3" x14ac:dyDescent="0.25">
      <c r="A142" s="725"/>
      <c r="B142" s="725"/>
      <c r="C142" s="725"/>
    </row>
    <row r="143" spans="1:3" x14ac:dyDescent="0.25">
      <c r="A143" s="353" t="s">
        <v>199</v>
      </c>
      <c r="B143" s="464"/>
      <c r="C143" s="355"/>
    </row>
    <row r="144" spans="1:3" ht="15.75" customHeight="1" x14ac:dyDescent="0.25">
      <c r="A144" s="491" t="s">
        <v>3046</v>
      </c>
      <c r="B144" s="156" t="s">
        <v>5</v>
      </c>
      <c r="C144" s="352">
        <v>4</v>
      </c>
    </row>
    <row r="145" spans="1:3" ht="31.5" customHeight="1" x14ac:dyDescent="0.25">
      <c r="A145" s="494" t="s">
        <v>2046</v>
      </c>
      <c r="B145" s="156" t="s">
        <v>56</v>
      </c>
      <c r="C145" s="352">
        <v>2</v>
      </c>
    </row>
    <row r="146" spans="1:3" x14ac:dyDescent="0.25">
      <c r="A146" s="494" t="s">
        <v>2047</v>
      </c>
      <c r="B146" s="156" t="s">
        <v>56</v>
      </c>
      <c r="C146" s="352">
        <v>5</v>
      </c>
    </row>
    <row r="147" spans="1:3" x14ac:dyDescent="0.25">
      <c r="A147" s="494" t="s">
        <v>2048</v>
      </c>
      <c r="B147" s="156" t="s">
        <v>56</v>
      </c>
      <c r="C147" s="352">
        <v>13</v>
      </c>
    </row>
    <row r="148" spans="1:3" x14ac:dyDescent="0.25">
      <c r="A148" s="494" t="s">
        <v>2049</v>
      </c>
      <c r="B148" s="156" t="s">
        <v>56</v>
      </c>
      <c r="C148" s="352">
        <f>6+7</f>
        <v>13</v>
      </c>
    </row>
    <row r="149" spans="1:3" ht="31.5" customHeight="1" x14ac:dyDescent="0.25">
      <c r="A149" s="494" t="s">
        <v>2050</v>
      </c>
      <c r="B149" s="156" t="s">
        <v>56</v>
      </c>
      <c r="C149" s="352">
        <v>16</v>
      </c>
    </row>
    <row r="150" spans="1:3" ht="31.5" customHeight="1" x14ac:dyDescent="0.25">
      <c r="A150" s="490" t="s">
        <v>3047</v>
      </c>
      <c r="B150" s="156" t="s">
        <v>5</v>
      </c>
      <c r="C150" s="352">
        <v>10</v>
      </c>
    </row>
    <row r="151" spans="1:3" ht="31.5" customHeight="1" x14ac:dyDescent="0.25">
      <c r="A151" s="494" t="s">
        <v>2051</v>
      </c>
      <c r="B151" s="156" t="s">
        <v>56</v>
      </c>
      <c r="C151" s="352">
        <v>18</v>
      </c>
    </row>
    <row r="152" spans="1:3" x14ac:dyDescent="0.25">
      <c r="A152" s="494" t="s">
        <v>2052</v>
      </c>
      <c r="B152" s="156" t="s">
        <v>56</v>
      </c>
      <c r="C152" s="352">
        <v>31</v>
      </c>
    </row>
    <row r="153" spans="1:3" ht="31.5" customHeight="1" x14ac:dyDescent="0.25">
      <c r="A153" s="494" t="s">
        <v>2053</v>
      </c>
      <c r="B153" s="156" t="s">
        <v>56</v>
      </c>
      <c r="C153" s="352">
        <v>6</v>
      </c>
    </row>
    <row r="154" spans="1:3" ht="31.5" customHeight="1" x14ac:dyDescent="0.25">
      <c r="A154" s="494" t="s">
        <v>2054</v>
      </c>
      <c r="B154" s="156" t="s">
        <v>56</v>
      </c>
      <c r="C154" s="352">
        <v>3</v>
      </c>
    </row>
    <row r="155" spans="1:3" ht="31.5" x14ac:dyDescent="0.25">
      <c r="A155" s="494" t="s">
        <v>2055</v>
      </c>
      <c r="B155" s="156" t="s">
        <v>56</v>
      </c>
      <c r="C155" s="352">
        <v>23</v>
      </c>
    </row>
    <row r="156" spans="1:3" ht="31.5" x14ac:dyDescent="0.25">
      <c r="A156" s="494" t="s">
        <v>2056</v>
      </c>
      <c r="B156" s="156" t="s">
        <v>56</v>
      </c>
      <c r="C156" s="352">
        <v>26</v>
      </c>
    </row>
    <row r="157" spans="1:3" x14ac:dyDescent="0.25">
      <c r="A157" s="494" t="s">
        <v>2057</v>
      </c>
      <c r="B157" s="156" t="s">
        <v>56</v>
      </c>
      <c r="C157" s="352">
        <v>27</v>
      </c>
    </row>
    <row r="158" spans="1:3" ht="31.5" customHeight="1" x14ac:dyDescent="0.25">
      <c r="A158" s="494" t="s">
        <v>2058</v>
      </c>
      <c r="B158" s="156" t="s">
        <v>56</v>
      </c>
      <c r="C158" s="352">
        <v>6</v>
      </c>
    </row>
    <row r="159" spans="1:3" ht="31.5" customHeight="1" x14ac:dyDescent="0.25">
      <c r="A159" s="494" t="s">
        <v>2059</v>
      </c>
      <c r="B159" s="156" t="s">
        <v>56</v>
      </c>
      <c r="C159" s="352">
        <v>17</v>
      </c>
    </row>
    <row r="160" spans="1:3" x14ac:dyDescent="0.25">
      <c r="A160" s="494" t="s">
        <v>2060</v>
      </c>
      <c r="B160" s="156" t="s">
        <v>56</v>
      </c>
      <c r="C160" s="352">
        <v>26</v>
      </c>
    </row>
    <row r="161" spans="1:3" ht="31.5" customHeight="1" x14ac:dyDescent="0.25">
      <c r="A161" s="494" t="s">
        <v>2061</v>
      </c>
      <c r="B161" s="156" t="s">
        <v>56</v>
      </c>
      <c r="C161" s="352">
        <v>24</v>
      </c>
    </row>
    <row r="162" spans="1:3" ht="31.5" x14ac:dyDescent="0.25">
      <c r="A162" s="494" t="s">
        <v>2062</v>
      </c>
      <c r="B162" s="156" t="s">
        <v>56</v>
      </c>
      <c r="C162" s="352">
        <v>15</v>
      </c>
    </row>
    <row r="163" spans="1:3" ht="31.5" customHeight="1" x14ac:dyDescent="0.25">
      <c r="A163" s="357" t="s">
        <v>2063</v>
      </c>
      <c r="B163" s="156" t="s">
        <v>56</v>
      </c>
      <c r="C163" s="352">
        <v>7</v>
      </c>
    </row>
    <row r="164" spans="1:3" ht="31.5" x14ac:dyDescent="0.25">
      <c r="A164" s="357" t="s">
        <v>2064</v>
      </c>
      <c r="B164" s="156" t="s">
        <v>56</v>
      </c>
      <c r="C164" s="352">
        <v>1</v>
      </c>
    </row>
    <row r="165" spans="1:3" x14ac:dyDescent="0.25">
      <c r="A165" s="357" t="s">
        <v>2065</v>
      </c>
      <c r="B165" s="156" t="s">
        <v>56</v>
      </c>
      <c r="C165" s="352">
        <v>6</v>
      </c>
    </row>
    <row r="166" spans="1:3" x14ac:dyDescent="0.25">
      <c r="A166" s="357" t="s">
        <v>2066</v>
      </c>
      <c r="B166" s="156" t="s">
        <v>56</v>
      </c>
      <c r="C166" s="352">
        <v>6</v>
      </c>
    </row>
    <row r="167" spans="1:3" ht="31.5" customHeight="1" x14ac:dyDescent="0.25">
      <c r="A167" s="357" t="s">
        <v>2067</v>
      </c>
      <c r="B167" s="156" t="s">
        <v>99</v>
      </c>
      <c r="C167" s="352">
        <v>251.1</v>
      </c>
    </row>
    <row r="168" spans="1:3" ht="31.5" customHeight="1" x14ac:dyDescent="0.25">
      <c r="A168" s="357" t="s">
        <v>2068</v>
      </c>
      <c r="B168" s="156" t="s">
        <v>99</v>
      </c>
      <c r="C168" s="352">
        <v>83.23</v>
      </c>
    </row>
    <row r="169" spans="1:3" ht="31.5" customHeight="1" x14ac:dyDescent="0.25">
      <c r="A169" s="357" t="s">
        <v>2069</v>
      </c>
      <c r="B169" s="156" t="s">
        <v>99</v>
      </c>
      <c r="C169" s="352">
        <v>25.11</v>
      </c>
    </row>
    <row r="170" spans="1:3" ht="31.5" customHeight="1" x14ac:dyDescent="0.25">
      <c r="A170" s="357" t="s">
        <v>2070</v>
      </c>
      <c r="B170" s="156" t="s">
        <v>99</v>
      </c>
      <c r="C170" s="352">
        <v>10.5</v>
      </c>
    </row>
    <row r="171" spans="1:3" ht="31.5" customHeight="1" x14ac:dyDescent="0.25">
      <c r="A171" s="494" t="s">
        <v>2071</v>
      </c>
      <c r="B171" s="156" t="s">
        <v>99</v>
      </c>
      <c r="C171" s="352">
        <v>25.47</v>
      </c>
    </row>
    <row r="173" spans="1:3" x14ac:dyDescent="0.25">
      <c r="A173" s="353" t="s">
        <v>200</v>
      </c>
      <c r="B173" s="464"/>
      <c r="C173" s="355"/>
    </row>
    <row r="174" spans="1:3" ht="15.75" customHeight="1" x14ac:dyDescent="0.25">
      <c r="A174" s="494" t="s">
        <v>2072</v>
      </c>
      <c r="B174" s="156" t="s">
        <v>56</v>
      </c>
      <c r="C174" s="352">
        <v>2</v>
      </c>
    </row>
    <row r="175" spans="1:3" ht="31.5" customHeight="1" x14ac:dyDescent="0.25">
      <c r="A175" s="494" t="s">
        <v>2057</v>
      </c>
      <c r="B175" s="156" t="s">
        <v>56</v>
      </c>
      <c r="C175" s="352">
        <v>24</v>
      </c>
    </row>
    <row r="176" spans="1:3" ht="31.5" customHeight="1" x14ac:dyDescent="0.25">
      <c r="A176" s="357" t="s">
        <v>2063</v>
      </c>
      <c r="B176" s="156" t="s">
        <v>56</v>
      </c>
      <c r="C176" s="352">
        <v>2</v>
      </c>
    </row>
    <row r="177" spans="1:5" ht="31.5" customHeight="1" x14ac:dyDescent="0.25">
      <c r="A177" s="494" t="s">
        <v>2073</v>
      </c>
      <c r="B177" s="156" t="s">
        <v>56</v>
      </c>
      <c r="C177" s="352">
        <v>10</v>
      </c>
    </row>
    <row r="178" spans="1:5" x14ac:dyDescent="0.25">
      <c r="A178" s="357" t="s">
        <v>2068</v>
      </c>
      <c r="B178" s="156" t="s">
        <v>99</v>
      </c>
      <c r="C178" s="352">
        <v>75.489999999999995</v>
      </c>
    </row>
    <row r="179" spans="1:5" ht="31.5" customHeight="1" x14ac:dyDescent="0.25">
      <c r="A179" s="494" t="s">
        <v>2074</v>
      </c>
      <c r="B179" s="156" t="s">
        <v>56</v>
      </c>
      <c r="C179" s="352">
        <v>21</v>
      </c>
    </row>
    <row r="180" spans="1:5" ht="31.5" customHeight="1" x14ac:dyDescent="0.25">
      <c r="A180" s="494"/>
      <c r="B180" s="156"/>
      <c r="C180" s="352"/>
    </row>
    <row r="181" spans="1:5" x14ac:dyDescent="0.25">
      <c r="A181" s="353" t="s">
        <v>327</v>
      </c>
      <c r="B181" s="464"/>
      <c r="C181" s="355"/>
    </row>
    <row r="182" spans="1:5" ht="15.75" customHeight="1" x14ac:dyDescent="0.25">
      <c r="A182" s="357" t="str">
        <f>LOWER("FOSSA SÉPTICA EM ALVENARIA 350 X 180 X 150 CM")</f>
        <v>fossa séptica em alvenaria 350 x 180 x 150 cm</v>
      </c>
      <c r="B182" s="156" t="s">
        <v>56</v>
      </c>
      <c r="C182" s="352">
        <v>1</v>
      </c>
    </row>
    <row r="183" spans="1:5" ht="47.25" customHeight="1" x14ac:dyDescent="0.25">
      <c r="A183" s="357" t="str">
        <f>LOWER("FOSSA SÉPTICA EM ALVENARIA 475 X 240 X 180 CM")</f>
        <v>fossa séptica em alvenaria 475 x 240 x 180 cm</v>
      </c>
      <c r="B183" s="156" t="s">
        <v>56</v>
      </c>
      <c r="C183" s="352">
        <v>1</v>
      </c>
    </row>
    <row r="184" spans="1:5" ht="47.25" customHeight="1" x14ac:dyDescent="0.25">
      <c r="A184" s="357" t="s">
        <v>2075</v>
      </c>
      <c r="B184" s="156" t="s">
        <v>56</v>
      </c>
      <c r="C184" s="352">
        <v>2</v>
      </c>
    </row>
    <row r="185" spans="1:5" ht="31.5" x14ac:dyDescent="0.25">
      <c r="A185" s="357" t="s">
        <v>2076</v>
      </c>
      <c r="B185" s="156" t="s">
        <v>56</v>
      </c>
      <c r="C185" s="352">
        <v>4</v>
      </c>
    </row>
    <row r="186" spans="1:5" x14ac:dyDescent="0.25">
      <c r="A186" s="725"/>
      <c r="B186" s="725"/>
      <c r="C186" s="725"/>
    </row>
    <row r="187" spans="1:5" x14ac:dyDescent="0.25">
      <c r="A187" s="353" t="s">
        <v>2204</v>
      </c>
      <c r="B187" s="464"/>
      <c r="C187" s="355"/>
    </row>
    <row r="188" spans="1:5" ht="15.75" customHeight="1" x14ac:dyDescent="0.25">
      <c r="A188" s="357" t="s">
        <v>1997</v>
      </c>
      <c r="B188" s="354" t="s">
        <v>99</v>
      </c>
      <c r="C188" s="354">
        <v>224.45</v>
      </c>
    </row>
    <row r="189" spans="1:5" x14ac:dyDescent="0.25">
      <c r="A189" s="357" t="s">
        <v>2205</v>
      </c>
      <c r="B189" s="156" t="s">
        <v>56</v>
      </c>
      <c r="C189" s="354">
        <v>21</v>
      </c>
    </row>
    <row r="190" spans="1:5" x14ac:dyDescent="0.25">
      <c r="A190" s="357" t="s">
        <v>1995</v>
      </c>
      <c r="B190" s="354" t="s">
        <v>56</v>
      </c>
      <c r="C190" s="354">
        <v>69</v>
      </c>
    </row>
    <row r="191" spans="1:5" x14ac:dyDescent="0.25">
      <c r="A191" s="357" t="s">
        <v>2011</v>
      </c>
      <c r="B191" s="354" t="s">
        <v>56</v>
      </c>
      <c r="C191" s="354">
        <v>22</v>
      </c>
    </row>
    <row r="192" spans="1:5" x14ac:dyDescent="0.25">
      <c r="E192" s="117"/>
    </row>
    <row r="193" spans="5:5" ht="31.5" customHeight="1" x14ac:dyDescent="0.25">
      <c r="E193" s="117"/>
    </row>
    <row r="194" spans="5:5" ht="31.5" customHeight="1" x14ac:dyDescent="0.25">
      <c r="E194" s="117"/>
    </row>
    <row r="195" spans="5:5" ht="31.5" customHeight="1" x14ac:dyDescent="0.25">
      <c r="E195" s="381"/>
    </row>
    <row r="196" spans="5:5" ht="31.5" customHeight="1" x14ac:dyDescent="0.25"/>
    <row r="198" spans="5:5" ht="31.5" customHeight="1" x14ac:dyDescent="0.25"/>
    <row r="202" spans="5:5" ht="15.75" customHeight="1" x14ac:dyDescent="0.25"/>
  </sheetData>
  <mergeCells count="14">
    <mergeCell ref="A186:C186"/>
    <mergeCell ref="A131:C131"/>
    <mergeCell ref="A142:C142"/>
    <mergeCell ref="A123:C123"/>
    <mergeCell ref="A1:C1"/>
    <mergeCell ref="A2:C2"/>
    <mergeCell ref="A3:C3"/>
    <mergeCell ref="A4:C4"/>
    <mergeCell ref="A21:C21"/>
    <mergeCell ref="A75:C75"/>
    <mergeCell ref="A83:C83"/>
    <mergeCell ref="A93:C93"/>
    <mergeCell ref="A111:C111"/>
    <mergeCell ref="A115:C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H65"/>
  <sheetViews>
    <sheetView topLeftCell="A49" workbookViewId="0">
      <selection sqref="A1:E65"/>
    </sheetView>
  </sheetViews>
  <sheetFormatPr defaultRowHeight="15" x14ac:dyDescent="0.25"/>
  <cols>
    <col min="1" max="1" width="6.85546875" style="345" bestFit="1" customWidth="1"/>
    <col min="2" max="2" width="21.28515625" style="320" customWidth="1"/>
    <col min="3" max="3" width="46.5703125" style="320" customWidth="1"/>
    <col min="4" max="4" width="7.140625" style="320" customWidth="1"/>
    <col min="5" max="5" width="8.7109375" style="320" bestFit="1" customWidth="1"/>
    <col min="6" max="6" width="11" style="346" customWidth="1"/>
    <col min="7" max="7" width="8.85546875" style="347" customWidth="1"/>
  </cols>
  <sheetData>
    <row r="1" spans="1:7" x14ac:dyDescent="0.25">
      <c r="A1" s="733" t="s">
        <v>1933</v>
      </c>
      <c r="B1" s="733"/>
      <c r="C1" s="733"/>
      <c r="D1" s="733"/>
      <c r="E1" s="733"/>
      <c r="F1" s="331"/>
      <c r="G1" s="332"/>
    </row>
    <row r="2" spans="1:7" x14ac:dyDescent="0.25">
      <c r="A2" s="733" t="s">
        <v>58</v>
      </c>
      <c r="B2" s="733"/>
      <c r="C2" s="733"/>
      <c r="D2" s="733"/>
      <c r="E2" s="733"/>
      <c r="F2" s="331"/>
      <c r="G2" s="332"/>
    </row>
    <row r="3" spans="1:7" x14ac:dyDescent="0.25">
      <c r="A3" s="333" t="s">
        <v>59</v>
      </c>
      <c r="B3" s="333" t="s">
        <v>60</v>
      </c>
      <c r="C3" s="334" t="s">
        <v>61</v>
      </c>
      <c r="D3" s="333" t="s">
        <v>62</v>
      </c>
      <c r="E3" s="333" t="s">
        <v>63</v>
      </c>
      <c r="F3" s="331"/>
      <c r="G3" s="332"/>
    </row>
    <row r="4" spans="1:7" x14ac:dyDescent="0.25">
      <c r="A4" s="251" t="s">
        <v>16</v>
      </c>
      <c r="B4" s="252" t="s">
        <v>1934</v>
      </c>
      <c r="C4" s="335" t="s">
        <v>1935</v>
      </c>
      <c r="D4" s="251" t="s">
        <v>10</v>
      </c>
      <c r="E4" s="336">
        <v>378.45</v>
      </c>
      <c r="F4" s="348">
        <f>ROUND(E4,2)</f>
        <v>378.45</v>
      </c>
      <c r="G4" s="265" t="s">
        <v>64</v>
      </c>
    </row>
    <row r="5" spans="1:7" x14ac:dyDescent="0.25">
      <c r="A5" s="733" t="s">
        <v>1936</v>
      </c>
      <c r="B5" s="733"/>
      <c r="C5" s="734"/>
      <c r="D5" s="734"/>
      <c r="E5" s="734"/>
      <c r="F5" s="319"/>
      <c r="G5" s="255"/>
    </row>
    <row r="6" spans="1:7" x14ac:dyDescent="0.25">
      <c r="A6" s="308" t="s">
        <v>59</v>
      </c>
      <c r="B6" s="308" t="s">
        <v>60</v>
      </c>
      <c r="C6" s="309" t="s">
        <v>61</v>
      </c>
      <c r="D6" s="308" t="s">
        <v>62</v>
      </c>
      <c r="E6" s="308" t="s">
        <v>63</v>
      </c>
      <c r="F6" s="319"/>
      <c r="G6" s="255"/>
    </row>
    <row r="7" spans="1:7" ht="165" x14ac:dyDescent="0.25">
      <c r="A7" s="251" t="s">
        <v>18</v>
      </c>
      <c r="B7" s="253" t="s">
        <v>209</v>
      </c>
      <c r="C7" s="340" t="s">
        <v>2678</v>
      </c>
      <c r="D7" s="258" t="s">
        <v>10</v>
      </c>
      <c r="E7" s="379">
        <f>(((16.9+3.35+16+30.8)*1.1)-(1.98+0.88+0.88+5.94))+55.11</f>
        <v>119.18500000000002</v>
      </c>
      <c r="F7" s="349">
        <f>ROUND(E7,2)</f>
        <v>119.19</v>
      </c>
      <c r="G7" s="265" t="s">
        <v>64</v>
      </c>
    </row>
    <row r="8" spans="1:7" x14ac:dyDescent="0.25">
      <c r="A8" s="734" t="s">
        <v>93</v>
      </c>
      <c r="B8" s="734"/>
      <c r="C8" s="734"/>
      <c r="D8" s="734"/>
      <c r="E8" s="734"/>
      <c r="F8" s="319"/>
      <c r="G8" s="332"/>
    </row>
    <row r="9" spans="1:7" x14ac:dyDescent="0.25">
      <c r="A9" s="308" t="s">
        <v>59</v>
      </c>
      <c r="B9" s="308" t="s">
        <v>60</v>
      </c>
      <c r="C9" s="309" t="s">
        <v>61</v>
      </c>
      <c r="D9" s="308" t="s">
        <v>62</v>
      </c>
      <c r="E9" s="308" t="s">
        <v>63</v>
      </c>
      <c r="F9" s="319"/>
      <c r="G9" s="332"/>
    </row>
    <row r="10" spans="1:7" ht="225" x14ac:dyDescent="0.25">
      <c r="A10" s="251" t="s">
        <v>21</v>
      </c>
      <c r="B10" s="257" t="s">
        <v>1937</v>
      </c>
      <c r="C10" s="340" t="s">
        <v>2320</v>
      </c>
      <c r="D10" s="258" t="s">
        <v>10</v>
      </c>
      <c r="E10" s="379">
        <f>181.62+59.86+61.17+3.75+53.4+53.4+23.55</f>
        <v>436.75</v>
      </c>
      <c r="F10" s="349">
        <f>ROUND(E10,2)</f>
        <v>436.75</v>
      </c>
      <c r="G10" s="265" t="s">
        <v>64</v>
      </c>
    </row>
    <row r="11" spans="1:7" ht="45" x14ac:dyDescent="0.25">
      <c r="A11" s="251" t="s">
        <v>22</v>
      </c>
      <c r="B11" s="259" t="s">
        <v>1825</v>
      </c>
      <c r="C11" s="317" t="s">
        <v>1938</v>
      </c>
      <c r="D11" s="251" t="s">
        <v>99</v>
      </c>
      <c r="E11" s="261">
        <f>(1.3*8)+(1.2*2)</f>
        <v>12.8</v>
      </c>
      <c r="F11" s="349">
        <f t="shared" ref="F11" si="0">ROUND(E11,2)</f>
        <v>12.8</v>
      </c>
      <c r="G11" s="265" t="s">
        <v>64</v>
      </c>
    </row>
    <row r="12" spans="1:7" ht="30" x14ac:dyDescent="0.25">
      <c r="A12" s="251" t="s">
        <v>1824</v>
      </c>
      <c r="B12" s="259" t="s">
        <v>1828</v>
      </c>
      <c r="C12" s="253" t="s">
        <v>1939</v>
      </c>
      <c r="D12" s="251" t="s">
        <v>99</v>
      </c>
      <c r="E12" s="261">
        <f>5*1.2</f>
        <v>6</v>
      </c>
      <c r="F12" s="349">
        <f>ROUND(E12,2)</f>
        <v>6</v>
      </c>
      <c r="G12" s="265" t="s">
        <v>64</v>
      </c>
    </row>
    <row r="13" spans="1:7" ht="30" x14ac:dyDescent="0.25">
      <c r="A13" s="251" t="s">
        <v>1827</v>
      </c>
      <c r="B13" s="259" t="s">
        <v>1831</v>
      </c>
      <c r="C13" s="253" t="s">
        <v>1940</v>
      </c>
      <c r="D13" s="251" t="s">
        <v>99</v>
      </c>
      <c r="E13" s="261">
        <f>2.4*8</f>
        <v>19.2</v>
      </c>
      <c r="F13" s="349">
        <f>ROUND(E13,2)</f>
        <v>19.2</v>
      </c>
      <c r="G13" s="265" t="s">
        <v>64</v>
      </c>
    </row>
    <row r="14" spans="1:7" ht="30" x14ac:dyDescent="0.25">
      <c r="A14" s="251" t="s">
        <v>1830</v>
      </c>
      <c r="B14" s="259" t="s">
        <v>1941</v>
      </c>
      <c r="C14" s="253" t="s">
        <v>1939</v>
      </c>
      <c r="D14" s="251" t="s">
        <v>99</v>
      </c>
      <c r="E14" s="261">
        <f>5*1.2</f>
        <v>6</v>
      </c>
      <c r="F14" s="349">
        <f t="shared" ref="F14:F15" si="1">ROUND(E14,2)</f>
        <v>6</v>
      </c>
      <c r="G14" s="265" t="s">
        <v>64</v>
      </c>
    </row>
    <row r="15" spans="1:7" ht="30" x14ac:dyDescent="0.25">
      <c r="A15" s="251" t="s">
        <v>1833</v>
      </c>
      <c r="B15" s="259" t="s">
        <v>1942</v>
      </c>
      <c r="C15" s="253" t="s">
        <v>1940</v>
      </c>
      <c r="D15" s="251" t="s">
        <v>99</v>
      </c>
      <c r="E15" s="261">
        <f>2.4*8</f>
        <v>19.2</v>
      </c>
      <c r="F15" s="349">
        <f t="shared" si="1"/>
        <v>19.2</v>
      </c>
      <c r="G15" s="265" t="s">
        <v>64</v>
      </c>
    </row>
    <row r="16" spans="1:7" x14ac:dyDescent="0.25">
      <c r="A16" s="732" t="s">
        <v>74</v>
      </c>
      <c r="B16" s="732"/>
      <c r="C16" s="732"/>
      <c r="D16" s="732"/>
      <c r="E16" s="732"/>
      <c r="F16" s="319"/>
      <c r="G16" s="256"/>
    </row>
    <row r="17" spans="1:7" x14ac:dyDescent="0.25">
      <c r="A17" s="308" t="s">
        <v>59</v>
      </c>
      <c r="B17" s="308" t="s">
        <v>60</v>
      </c>
      <c r="C17" s="309" t="s">
        <v>61</v>
      </c>
      <c r="D17" s="308" t="s">
        <v>62</v>
      </c>
      <c r="E17" s="308" t="s">
        <v>63</v>
      </c>
      <c r="F17" s="319"/>
      <c r="G17" s="256"/>
    </row>
    <row r="18" spans="1:7" ht="30" x14ac:dyDescent="0.25">
      <c r="A18" s="251" t="s">
        <v>24</v>
      </c>
      <c r="B18" s="252" t="s">
        <v>1943</v>
      </c>
      <c r="C18" s="337" t="s">
        <v>1944</v>
      </c>
      <c r="D18" s="251" t="s">
        <v>10</v>
      </c>
      <c r="E18" s="336">
        <f>28.1*17.6</f>
        <v>494.56000000000006</v>
      </c>
      <c r="F18" s="349">
        <f>ROUND(E18,2)</f>
        <v>494.56</v>
      </c>
      <c r="G18" s="265" t="s">
        <v>64</v>
      </c>
    </row>
    <row r="19" spans="1:7" x14ac:dyDescent="0.25">
      <c r="A19" s="732" t="s">
        <v>78</v>
      </c>
      <c r="B19" s="732"/>
      <c r="C19" s="732"/>
      <c r="D19" s="732"/>
      <c r="E19" s="732"/>
      <c r="F19" s="319"/>
      <c r="G19" s="338"/>
    </row>
    <row r="20" spans="1:7" x14ac:dyDescent="0.25">
      <c r="A20" s="308" t="s">
        <v>59</v>
      </c>
      <c r="B20" s="308" t="s">
        <v>60</v>
      </c>
      <c r="C20" s="309" t="s">
        <v>61</v>
      </c>
      <c r="D20" s="308" t="s">
        <v>62</v>
      </c>
      <c r="E20" s="308" t="s">
        <v>63</v>
      </c>
      <c r="F20" s="319"/>
      <c r="G20" s="338"/>
    </row>
    <row r="21" spans="1:7" x14ac:dyDescent="0.25">
      <c r="A21" s="339" t="s">
        <v>30</v>
      </c>
      <c r="B21" s="257" t="s">
        <v>1945</v>
      </c>
      <c r="C21" s="340" t="s">
        <v>1946</v>
      </c>
      <c r="D21" s="350" t="s">
        <v>56</v>
      </c>
      <c r="E21" s="351">
        <v>8</v>
      </c>
      <c r="F21" s="349">
        <f t="shared" ref="F21:F25" si="2">ROUND(E21,2)</f>
        <v>8</v>
      </c>
      <c r="G21" s="265" t="s">
        <v>64</v>
      </c>
    </row>
    <row r="22" spans="1:7" x14ac:dyDescent="0.25">
      <c r="A22" s="339" t="s">
        <v>31</v>
      </c>
      <c r="B22" s="257" t="s">
        <v>1947</v>
      </c>
      <c r="C22" s="340" t="s">
        <v>1948</v>
      </c>
      <c r="D22" s="350" t="s">
        <v>56</v>
      </c>
      <c r="E22" s="351">
        <v>2</v>
      </c>
      <c r="F22" s="349">
        <f t="shared" si="2"/>
        <v>2</v>
      </c>
      <c r="G22" s="265" t="s">
        <v>64</v>
      </c>
    </row>
    <row r="23" spans="1:7" ht="30" x14ac:dyDescent="0.25">
      <c r="A23" s="339" t="s">
        <v>83</v>
      </c>
      <c r="B23" s="259" t="s">
        <v>1949</v>
      </c>
      <c r="C23" s="340" t="s">
        <v>1950</v>
      </c>
      <c r="D23" s="258" t="s">
        <v>10</v>
      </c>
      <c r="E23" s="341">
        <f>6*2*0.8</f>
        <v>9.6000000000000014</v>
      </c>
      <c r="F23" s="349">
        <f t="shared" si="2"/>
        <v>9.6</v>
      </c>
      <c r="G23" s="265" t="s">
        <v>64</v>
      </c>
    </row>
    <row r="24" spans="1:7" ht="30" x14ac:dyDescent="0.25">
      <c r="A24" s="339" t="s">
        <v>84</v>
      </c>
      <c r="B24" s="259" t="s">
        <v>1951</v>
      </c>
      <c r="C24" s="340" t="s">
        <v>1952</v>
      </c>
      <c r="D24" s="258" t="s">
        <v>10</v>
      </c>
      <c r="E24" s="341">
        <f>0.8*0.4*5</f>
        <v>1.6000000000000003</v>
      </c>
      <c r="F24" s="349">
        <f t="shared" si="2"/>
        <v>1.6</v>
      </c>
      <c r="G24" s="265" t="s">
        <v>64</v>
      </c>
    </row>
    <row r="25" spans="1:7" ht="30" x14ac:dyDescent="0.25">
      <c r="A25" s="339" t="s">
        <v>85</v>
      </c>
      <c r="B25" s="259" t="s">
        <v>1953</v>
      </c>
      <c r="C25" s="340" t="s">
        <v>1954</v>
      </c>
      <c r="D25" s="350" t="s">
        <v>56</v>
      </c>
      <c r="E25" s="351">
        <v>2</v>
      </c>
      <c r="F25" s="349">
        <f t="shared" si="2"/>
        <v>2</v>
      </c>
      <c r="G25" s="265" t="s">
        <v>64</v>
      </c>
    </row>
    <row r="26" spans="1:7" x14ac:dyDescent="0.25">
      <c r="A26" s="732" t="s">
        <v>107</v>
      </c>
      <c r="B26" s="732"/>
      <c r="C26" s="732"/>
      <c r="D26" s="732"/>
      <c r="E26" s="732"/>
      <c r="F26" s="319"/>
      <c r="G26" s="255"/>
    </row>
    <row r="27" spans="1:7" x14ac:dyDescent="0.25">
      <c r="A27" s="308" t="s">
        <v>59</v>
      </c>
      <c r="B27" s="308" t="s">
        <v>60</v>
      </c>
      <c r="C27" s="309" t="s">
        <v>61</v>
      </c>
      <c r="D27" s="308" t="s">
        <v>62</v>
      </c>
      <c r="E27" s="308" t="s">
        <v>63</v>
      </c>
      <c r="F27" s="319"/>
      <c r="G27" s="255"/>
    </row>
    <row r="28" spans="1:7" ht="60" x14ac:dyDescent="0.25">
      <c r="A28" s="251" t="s">
        <v>33</v>
      </c>
      <c r="B28" s="252" t="s">
        <v>1955</v>
      </c>
      <c r="C28" s="340" t="s">
        <v>2679</v>
      </c>
      <c r="D28" s="258" t="s">
        <v>10</v>
      </c>
      <c r="E28" s="380">
        <f>((E10*2)+(0.9*11*3.9))-(21.9*2)</f>
        <v>868.31000000000006</v>
      </c>
      <c r="F28" s="349">
        <f t="shared" ref="F28:F34" si="3">ROUND(E28,2)</f>
        <v>868.31</v>
      </c>
      <c r="G28" s="265" t="s">
        <v>64</v>
      </c>
    </row>
    <row r="29" spans="1:7" ht="120" x14ac:dyDescent="0.25">
      <c r="A29" s="251" t="s">
        <v>122</v>
      </c>
      <c r="B29" s="252" t="s">
        <v>1956</v>
      </c>
      <c r="C29" s="340" t="s">
        <v>2623</v>
      </c>
      <c r="D29" s="258" t="s">
        <v>10</v>
      </c>
      <c r="E29" s="380">
        <f>14.87+3.75+3.75+48.9+26.06+3.87+9.54+9.54</f>
        <v>120.28</v>
      </c>
      <c r="F29" s="349">
        <f t="shared" si="3"/>
        <v>120.28</v>
      </c>
      <c r="G29" s="265" t="s">
        <v>64</v>
      </c>
    </row>
    <row r="30" spans="1:7" x14ac:dyDescent="0.25">
      <c r="A30" s="251" t="s">
        <v>123</v>
      </c>
      <c r="B30" s="252" t="s">
        <v>1958</v>
      </c>
      <c r="C30" s="337" t="s">
        <v>1959</v>
      </c>
      <c r="D30" s="251" t="s">
        <v>10</v>
      </c>
      <c r="E30" s="336">
        <f>E28-E32</f>
        <v>450.38099999999997</v>
      </c>
      <c r="F30" s="349">
        <f t="shared" si="3"/>
        <v>450.38</v>
      </c>
      <c r="G30" s="265" t="s">
        <v>64</v>
      </c>
    </row>
    <row r="31" spans="1:7" ht="120" x14ac:dyDescent="0.25">
      <c r="A31" s="251" t="s">
        <v>289</v>
      </c>
      <c r="B31" s="252" t="s">
        <v>1960</v>
      </c>
      <c r="C31" s="340" t="s">
        <v>2623</v>
      </c>
      <c r="D31" s="258" t="s">
        <v>10</v>
      </c>
      <c r="E31" s="380">
        <f>14.87+3.75+3.75+48.9+26.06+3.87+9.54+9.54</f>
        <v>120.28</v>
      </c>
      <c r="F31" s="349">
        <f t="shared" si="3"/>
        <v>120.28</v>
      </c>
      <c r="G31" s="265" t="s">
        <v>64</v>
      </c>
    </row>
    <row r="32" spans="1:7" ht="240" x14ac:dyDescent="0.25">
      <c r="A32" s="251" t="s">
        <v>290</v>
      </c>
      <c r="B32" s="253" t="s">
        <v>1961</v>
      </c>
      <c r="C32" s="337" t="s">
        <v>2325</v>
      </c>
      <c r="D32" s="251" t="s">
        <v>10</v>
      </c>
      <c r="E32" s="336">
        <f>(((8.7+16.9+12.9+12.9+8+8+30.38+16.4)*3.8)-54.45)+(5.15*1.5)+((14.5*1.2)-1.48)+14.85</f>
        <v>417.92900000000009</v>
      </c>
      <c r="F32" s="349">
        <f t="shared" si="3"/>
        <v>417.93</v>
      </c>
      <c r="G32" s="265" t="s">
        <v>64</v>
      </c>
    </row>
    <row r="33" spans="1:8" ht="225" x14ac:dyDescent="0.25">
      <c r="A33" s="251" t="s">
        <v>291</v>
      </c>
      <c r="B33" s="252" t="s">
        <v>1962</v>
      </c>
      <c r="C33" s="259" t="s">
        <v>2326</v>
      </c>
      <c r="D33" s="258" t="s">
        <v>10</v>
      </c>
      <c r="E33" s="380">
        <f>(((8.7+16.9+12.9+12.9+8+8+30.38+16.4)*3.8)-54.45)+(5.15*1.5)+((14.5*1.2)-1.48)+14.85</f>
        <v>417.92900000000009</v>
      </c>
      <c r="F33" s="349">
        <f t="shared" si="3"/>
        <v>417.93</v>
      </c>
      <c r="G33" s="265" t="s">
        <v>64</v>
      </c>
    </row>
    <row r="34" spans="1:8" ht="90" x14ac:dyDescent="0.25">
      <c r="A34" s="258" t="s">
        <v>292</v>
      </c>
      <c r="B34" s="342" t="s">
        <v>1963</v>
      </c>
      <c r="C34" s="343" t="s">
        <v>1964</v>
      </c>
      <c r="D34" s="251" t="s">
        <v>10</v>
      </c>
      <c r="E34" s="261">
        <f>4.37+4.51+3.59+14.85</f>
        <v>27.32</v>
      </c>
      <c r="F34" s="349">
        <f t="shared" si="3"/>
        <v>27.32</v>
      </c>
      <c r="G34" s="265" t="s">
        <v>64</v>
      </c>
    </row>
    <row r="35" spans="1:8" x14ac:dyDescent="0.25">
      <c r="A35" s="734" t="s">
        <v>11</v>
      </c>
      <c r="B35" s="734"/>
      <c r="C35" s="734"/>
      <c r="D35" s="734"/>
      <c r="E35" s="734"/>
      <c r="F35" s="319"/>
      <c r="G35" s="344"/>
    </row>
    <row r="36" spans="1:8" x14ac:dyDescent="0.25">
      <c r="A36" s="308" t="s">
        <v>59</v>
      </c>
      <c r="B36" s="308" t="s">
        <v>60</v>
      </c>
      <c r="C36" s="309" t="s">
        <v>61</v>
      </c>
      <c r="D36" s="308" t="s">
        <v>62</v>
      </c>
      <c r="E36" s="308" t="s">
        <v>63</v>
      </c>
      <c r="F36" s="319"/>
      <c r="G36" s="332"/>
    </row>
    <row r="37" spans="1:8" ht="135" x14ac:dyDescent="0.25">
      <c r="A37" s="251" t="s">
        <v>94</v>
      </c>
      <c r="B37" s="252" t="s">
        <v>1965</v>
      </c>
      <c r="C37" s="337" t="s">
        <v>1957</v>
      </c>
      <c r="D37" s="251" t="s">
        <v>10</v>
      </c>
      <c r="E37" s="336">
        <f>14.87+3.75+3.75+48.9+26.06+3.87+9.54+9.54+246.5</f>
        <v>366.78</v>
      </c>
      <c r="F37" s="348">
        <f t="shared" ref="F37:F41" si="4">ROUND(E37,2)</f>
        <v>366.78</v>
      </c>
      <c r="G37" s="265" t="s">
        <v>64</v>
      </c>
      <c r="H37" s="137" t="s">
        <v>2090</v>
      </c>
    </row>
    <row r="38" spans="1:8" ht="135" x14ac:dyDescent="0.25">
      <c r="A38" s="251" t="s">
        <v>95</v>
      </c>
      <c r="B38" s="252" t="s">
        <v>1966</v>
      </c>
      <c r="C38" s="337" t="s">
        <v>1957</v>
      </c>
      <c r="D38" s="251" t="s">
        <v>10</v>
      </c>
      <c r="E38" s="336">
        <f>14.87+3.75+3.75+48.9+26.06+3.87+9.54+9.54+246.5</f>
        <v>366.78</v>
      </c>
      <c r="F38" s="348">
        <f t="shared" si="4"/>
        <v>366.78</v>
      </c>
      <c r="G38" s="265" t="s">
        <v>64</v>
      </c>
      <c r="H38" s="137" t="s">
        <v>2089</v>
      </c>
    </row>
    <row r="39" spans="1:8" ht="135" x14ac:dyDescent="0.25">
      <c r="A39" s="251" t="s">
        <v>97</v>
      </c>
      <c r="B39" s="253" t="s">
        <v>1967</v>
      </c>
      <c r="C39" s="337" t="s">
        <v>1957</v>
      </c>
      <c r="D39" s="251" t="s">
        <v>10</v>
      </c>
      <c r="E39" s="336">
        <f>14.87+3.75+3.75+48.9+26.06+3.87+9.54+9.54+246.5</f>
        <v>366.78</v>
      </c>
      <c r="F39" s="348">
        <f t="shared" si="4"/>
        <v>366.78</v>
      </c>
      <c r="G39" s="265" t="s">
        <v>64</v>
      </c>
      <c r="H39" s="137" t="s">
        <v>2089</v>
      </c>
    </row>
    <row r="40" spans="1:8" ht="135" customHeight="1" x14ac:dyDescent="0.25">
      <c r="A40" s="251" t="s">
        <v>98</v>
      </c>
      <c r="B40" s="252" t="s">
        <v>1861</v>
      </c>
      <c r="C40" s="340" t="s">
        <v>2321</v>
      </c>
      <c r="D40" s="258" t="s">
        <v>10</v>
      </c>
      <c r="E40" s="380">
        <f>14.87+3.75+3.75+48.9+24.8+3.87+9.54+9.54+239.16</f>
        <v>358.17999999999995</v>
      </c>
      <c r="F40" s="349">
        <f t="shared" si="4"/>
        <v>358.18</v>
      </c>
      <c r="G40" s="265" t="s">
        <v>64</v>
      </c>
    </row>
    <row r="41" spans="1:8" ht="90" x14ac:dyDescent="0.25">
      <c r="A41" s="251" t="s">
        <v>125</v>
      </c>
      <c r="B41" s="252" t="s">
        <v>345</v>
      </c>
      <c r="C41" s="340" t="s">
        <v>2322</v>
      </c>
      <c r="D41" s="258" t="s">
        <v>99</v>
      </c>
      <c r="E41" s="380">
        <f>(0.9*8)+(0.8*2)+45+2.55+5.45</f>
        <v>61.8</v>
      </c>
      <c r="F41" s="349">
        <f t="shared" si="4"/>
        <v>61.8</v>
      </c>
      <c r="G41" s="265" t="s">
        <v>64</v>
      </c>
    </row>
    <row r="42" spans="1:8" x14ac:dyDescent="0.25">
      <c r="A42" s="735" t="s">
        <v>12</v>
      </c>
      <c r="B42" s="736"/>
      <c r="C42" s="736"/>
      <c r="D42" s="736"/>
      <c r="E42" s="737"/>
      <c r="F42" s="319"/>
      <c r="G42" s="332"/>
    </row>
    <row r="43" spans="1:8" x14ac:dyDescent="0.25">
      <c r="A43" s="308" t="s">
        <v>59</v>
      </c>
      <c r="B43" s="308" t="s">
        <v>60</v>
      </c>
      <c r="C43" s="309" t="s">
        <v>61</v>
      </c>
      <c r="D43" s="308" t="s">
        <v>62</v>
      </c>
      <c r="E43" s="308" t="s">
        <v>63</v>
      </c>
      <c r="F43" s="319"/>
      <c r="G43" s="332"/>
    </row>
    <row r="44" spans="1:8" s="365" customFormat="1" ht="150" x14ac:dyDescent="0.25">
      <c r="A44" s="258" t="s">
        <v>100</v>
      </c>
      <c r="B44" s="259" t="s">
        <v>1968</v>
      </c>
      <c r="C44" s="259" t="s">
        <v>2145</v>
      </c>
      <c r="D44" s="258" t="s">
        <v>10</v>
      </c>
      <c r="E44" s="260">
        <f>63.94+59.86+55.9+53.4+53.4+35.85+(0.9*11*2.4)</f>
        <v>346.11</v>
      </c>
      <c r="F44" s="349">
        <f t="shared" ref="F44:F50" si="5">ROUND(E44,2)</f>
        <v>346.11</v>
      </c>
      <c r="G44" s="327" t="s">
        <v>64</v>
      </c>
      <c r="H44" s="364"/>
    </row>
    <row r="45" spans="1:8" s="365" customFormat="1" ht="165" x14ac:dyDescent="0.25">
      <c r="A45" s="258" t="s">
        <v>101</v>
      </c>
      <c r="B45" s="259" t="s">
        <v>1868</v>
      </c>
      <c r="C45" s="259" t="s">
        <v>2146</v>
      </c>
      <c r="D45" s="258" t="s">
        <v>10</v>
      </c>
      <c r="E45" s="260">
        <f>(63.94+59.86+55.9+53.4+53.4+35.85)+(0.9*11*2.4)</f>
        <v>346.11</v>
      </c>
      <c r="F45" s="349">
        <f t="shared" si="5"/>
        <v>346.11</v>
      </c>
      <c r="G45" s="327" t="s">
        <v>64</v>
      </c>
      <c r="H45" s="364"/>
    </row>
    <row r="46" spans="1:8" s="365" customFormat="1" ht="135" x14ac:dyDescent="0.25">
      <c r="A46" s="258" t="s">
        <v>101</v>
      </c>
      <c r="B46" s="259" t="s">
        <v>2147</v>
      </c>
      <c r="C46" s="259" t="s">
        <v>2680</v>
      </c>
      <c r="D46" s="258" t="s">
        <v>10</v>
      </c>
      <c r="E46" s="260">
        <v>120.28</v>
      </c>
      <c r="F46" s="349">
        <f t="shared" si="5"/>
        <v>120.28</v>
      </c>
      <c r="G46" s="327" t="s">
        <v>64</v>
      </c>
      <c r="H46" s="364"/>
    </row>
    <row r="47" spans="1:8" s="365" customFormat="1" ht="120" x14ac:dyDescent="0.25">
      <c r="A47" s="258" t="s">
        <v>101</v>
      </c>
      <c r="B47" s="259" t="s">
        <v>2148</v>
      </c>
      <c r="C47" s="340" t="s">
        <v>2681</v>
      </c>
      <c r="D47" s="258" t="s">
        <v>10</v>
      </c>
      <c r="E47" s="380">
        <f>14.87+3.75+3.75+48.9+26.06+3.87+9.54+9.54</f>
        <v>120.28</v>
      </c>
      <c r="F47" s="349">
        <f t="shared" si="5"/>
        <v>120.28</v>
      </c>
      <c r="G47" s="327" t="s">
        <v>64</v>
      </c>
      <c r="H47" s="364"/>
    </row>
    <row r="48" spans="1:8" s="365" customFormat="1" ht="180" x14ac:dyDescent="0.25">
      <c r="A48" s="258" t="s">
        <v>102</v>
      </c>
      <c r="B48" s="259" t="s">
        <v>1869</v>
      </c>
      <c r="C48" s="259" t="s">
        <v>2149</v>
      </c>
      <c r="D48" s="258" t="s">
        <v>10</v>
      </c>
      <c r="E48" s="260">
        <f>63.94+59.86+55.9+53.4+53.4+35.85 +(0.9*11*2.4)</f>
        <v>346.11</v>
      </c>
      <c r="F48" s="349">
        <f t="shared" si="5"/>
        <v>346.11</v>
      </c>
      <c r="G48" s="327" t="s">
        <v>64</v>
      </c>
    </row>
    <row r="49" spans="1:7" s="365" customFormat="1" ht="45" x14ac:dyDescent="0.25">
      <c r="A49" s="258" t="s">
        <v>104</v>
      </c>
      <c r="B49" s="259" t="s">
        <v>1969</v>
      </c>
      <c r="C49" s="259" t="s">
        <v>1970</v>
      </c>
      <c r="D49" s="258" t="s">
        <v>10</v>
      </c>
      <c r="E49" s="260">
        <f>15.35*1.2</f>
        <v>18.419999999999998</v>
      </c>
      <c r="F49" s="349">
        <f t="shared" ref="F49" si="6">ROUND(E49,2)</f>
        <v>18.420000000000002</v>
      </c>
      <c r="G49" s="327" t="s">
        <v>64</v>
      </c>
    </row>
    <row r="50" spans="1:7" s="365" customFormat="1" ht="50.25" customHeight="1" x14ac:dyDescent="0.25">
      <c r="A50" s="258" t="s">
        <v>105</v>
      </c>
      <c r="B50" s="259" t="s">
        <v>1971</v>
      </c>
      <c r="C50" s="259" t="s">
        <v>2323</v>
      </c>
      <c r="D50" s="258" t="s">
        <v>10</v>
      </c>
      <c r="E50" s="260">
        <f>((0.9*2.1*8)+(0.8*2.1*2))*2</f>
        <v>36.96</v>
      </c>
      <c r="F50" s="349">
        <f t="shared" si="5"/>
        <v>36.96</v>
      </c>
      <c r="G50" s="327" t="s">
        <v>64</v>
      </c>
    </row>
    <row r="51" spans="1:7" x14ac:dyDescent="0.25">
      <c r="A51" s="734" t="s">
        <v>1972</v>
      </c>
      <c r="B51" s="734"/>
      <c r="C51" s="734"/>
      <c r="D51" s="734"/>
      <c r="E51" s="734"/>
      <c r="F51" s="319"/>
      <c r="G51" s="332"/>
    </row>
    <row r="52" spans="1:7" x14ac:dyDescent="0.25">
      <c r="A52" s="308" t="s">
        <v>59</v>
      </c>
      <c r="B52" s="308" t="s">
        <v>60</v>
      </c>
      <c r="C52" s="309" t="s">
        <v>61</v>
      </c>
      <c r="D52" s="308" t="s">
        <v>62</v>
      </c>
      <c r="E52" s="308" t="s">
        <v>63</v>
      </c>
      <c r="F52" s="319"/>
      <c r="G52" s="332"/>
    </row>
    <row r="53" spans="1:7" ht="60" x14ac:dyDescent="0.25">
      <c r="A53" s="251" t="s">
        <v>108</v>
      </c>
      <c r="B53" s="257" t="s">
        <v>1823</v>
      </c>
      <c r="C53" s="340" t="s">
        <v>2324</v>
      </c>
      <c r="D53" s="258" t="s">
        <v>10</v>
      </c>
      <c r="E53" s="380">
        <f>((2.68+2.76+2.76+2.8)*2)+((4.51+4.51+4.48)*0.7)</f>
        <v>31.45</v>
      </c>
      <c r="F53" s="349">
        <f t="shared" ref="F53:F59" si="7">ROUND(E53,2)</f>
        <v>31.45</v>
      </c>
      <c r="G53" s="265" t="s">
        <v>64</v>
      </c>
    </row>
    <row r="54" spans="1:7" ht="30" x14ac:dyDescent="0.25">
      <c r="A54" s="251" t="s">
        <v>110</v>
      </c>
      <c r="B54" s="257" t="s">
        <v>1973</v>
      </c>
      <c r="C54" s="340" t="s">
        <v>1974</v>
      </c>
      <c r="D54" s="311" t="s">
        <v>56</v>
      </c>
      <c r="E54" s="336">
        <v>1</v>
      </c>
      <c r="F54" s="349">
        <f t="shared" si="7"/>
        <v>1</v>
      </c>
      <c r="G54" s="265" t="s">
        <v>64</v>
      </c>
    </row>
    <row r="55" spans="1:7" x14ac:dyDescent="0.25">
      <c r="A55" s="251" t="s">
        <v>111</v>
      </c>
      <c r="B55" s="257" t="s">
        <v>1975</v>
      </c>
      <c r="C55" s="340" t="s">
        <v>134</v>
      </c>
      <c r="D55" s="311" t="s">
        <v>56</v>
      </c>
      <c r="E55" s="336">
        <v>1</v>
      </c>
      <c r="F55" s="349">
        <f t="shared" si="7"/>
        <v>1</v>
      </c>
      <c r="G55" s="265" t="s">
        <v>64</v>
      </c>
    </row>
    <row r="56" spans="1:7" x14ac:dyDescent="0.25">
      <c r="A56" s="251" t="s">
        <v>127</v>
      </c>
      <c r="B56" s="257" t="s">
        <v>271</v>
      </c>
      <c r="C56" s="340" t="s">
        <v>1976</v>
      </c>
      <c r="D56" s="311" t="s">
        <v>56</v>
      </c>
      <c r="E56" s="336">
        <v>2</v>
      </c>
      <c r="F56" s="349">
        <f t="shared" si="7"/>
        <v>2</v>
      </c>
      <c r="G56" s="265" t="s">
        <v>64</v>
      </c>
    </row>
    <row r="57" spans="1:7" ht="30" x14ac:dyDescent="0.25">
      <c r="A57" s="251" t="s">
        <v>128</v>
      </c>
      <c r="B57" s="257" t="s">
        <v>121</v>
      </c>
      <c r="C57" s="340" t="s">
        <v>1977</v>
      </c>
      <c r="D57" s="251" t="s">
        <v>10</v>
      </c>
      <c r="E57" s="336">
        <f>2*0.45*0.55</f>
        <v>0.49500000000000005</v>
      </c>
      <c r="F57" s="349">
        <f t="shared" si="7"/>
        <v>0.5</v>
      </c>
      <c r="G57" s="265" t="s">
        <v>64</v>
      </c>
    </row>
    <row r="58" spans="1:7" ht="30" x14ac:dyDescent="0.25">
      <c r="A58" s="251" t="s">
        <v>129</v>
      </c>
      <c r="B58" s="257" t="s">
        <v>1978</v>
      </c>
      <c r="C58" s="340" t="s">
        <v>1979</v>
      </c>
      <c r="D58" s="251" t="s">
        <v>99</v>
      </c>
      <c r="E58" s="336">
        <f>11*4*3.9</f>
        <v>171.6</v>
      </c>
      <c r="F58" s="349">
        <f t="shared" si="7"/>
        <v>171.6</v>
      </c>
      <c r="G58" s="265" t="s">
        <v>64</v>
      </c>
    </row>
    <row r="59" spans="1:7" ht="45" x14ac:dyDescent="0.25">
      <c r="A59" s="258" t="s">
        <v>1873</v>
      </c>
      <c r="B59" s="257" t="s">
        <v>269</v>
      </c>
      <c r="C59" s="340" t="s">
        <v>2624</v>
      </c>
      <c r="D59" s="361" t="s">
        <v>56</v>
      </c>
      <c r="E59" s="380">
        <f>15+9</f>
        <v>24</v>
      </c>
      <c r="F59" s="349">
        <f t="shared" si="7"/>
        <v>24</v>
      </c>
      <c r="G59" s="265"/>
    </row>
    <row r="60" spans="1:7" x14ac:dyDescent="0.25">
      <c r="A60" s="731" t="s">
        <v>55</v>
      </c>
      <c r="B60" s="731"/>
      <c r="C60" s="732"/>
      <c r="D60" s="732"/>
      <c r="E60" s="732"/>
      <c r="F60" s="319"/>
      <c r="G60" s="255"/>
    </row>
    <row r="61" spans="1:7" x14ac:dyDescent="0.25">
      <c r="A61" s="308" t="s">
        <v>59</v>
      </c>
      <c r="B61" s="308" t="s">
        <v>60</v>
      </c>
      <c r="C61" s="309" t="s">
        <v>61</v>
      </c>
      <c r="D61" s="308" t="s">
        <v>62</v>
      </c>
      <c r="E61" s="308" t="s">
        <v>63</v>
      </c>
      <c r="F61" s="319"/>
      <c r="G61" s="255"/>
    </row>
    <row r="62" spans="1:7" x14ac:dyDescent="0.25">
      <c r="A62" s="251" t="s">
        <v>112</v>
      </c>
      <c r="B62" s="252" t="s">
        <v>1897</v>
      </c>
      <c r="C62" s="253" t="s">
        <v>1980</v>
      </c>
      <c r="D62" s="251" t="s">
        <v>10</v>
      </c>
      <c r="E62" s="254">
        <v>85.2</v>
      </c>
      <c r="F62" s="349">
        <f>E62</f>
        <v>85.2</v>
      </c>
      <c r="G62" s="265" t="s">
        <v>64</v>
      </c>
    </row>
    <row r="63" spans="1:7" x14ac:dyDescent="0.25">
      <c r="A63" s="731" t="s">
        <v>65</v>
      </c>
      <c r="B63" s="731"/>
      <c r="C63" s="732"/>
      <c r="D63" s="732"/>
      <c r="E63" s="732"/>
      <c r="F63" s="319"/>
      <c r="G63" s="255"/>
    </row>
    <row r="64" spans="1:7" x14ac:dyDescent="0.25">
      <c r="A64" s="308" t="s">
        <v>59</v>
      </c>
      <c r="B64" s="308" t="s">
        <v>60</v>
      </c>
      <c r="C64" s="309" t="s">
        <v>61</v>
      </c>
      <c r="D64" s="308" t="s">
        <v>62</v>
      </c>
      <c r="E64" s="308" t="s">
        <v>63</v>
      </c>
      <c r="F64" s="319"/>
      <c r="G64" s="255"/>
    </row>
    <row r="65" spans="1:7" x14ac:dyDescent="0.25">
      <c r="A65" s="251" t="s">
        <v>114</v>
      </c>
      <c r="B65" s="252" t="s">
        <v>66</v>
      </c>
      <c r="C65" s="337" t="s">
        <v>1981</v>
      </c>
      <c r="D65" s="251" t="s">
        <v>10</v>
      </c>
      <c r="E65" s="336">
        <v>378.45</v>
      </c>
      <c r="F65" s="349">
        <f>ROUND(E65,2)</f>
        <v>378.45</v>
      </c>
      <c r="G65" s="265" t="s">
        <v>64</v>
      </c>
    </row>
  </sheetData>
  <mergeCells count="12">
    <mergeCell ref="A63:E63"/>
    <mergeCell ref="A1:E1"/>
    <mergeCell ref="A2:E2"/>
    <mergeCell ref="A5:E5"/>
    <mergeCell ref="A8:E8"/>
    <mergeCell ref="A16:E16"/>
    <mergeCell ref="A19:E19"/>
    <mergeCell ref="A26:E26"/>
    <mergeCell ref="A35:E35"/>
    <mergeCell ref="A42:E42"/>
    <mergeCell ref="A51:E51"/>
    <mergeCell ref="A60:E6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6</vt:i4>
      </vt:variant>
    </vt:vector>
  </HeadingPairs>
  <TitlesOfParts>
    <vt:vector size="30" baseType="lpstr">
      <vt:lpstr>CPU</vt:lpstr>
      <vt:lpstr>RESUMO</vt:lpstr>
      <vt:lpstr>PLANILHA ORÇAMENTARIA</vt:lpstr>
      <vt:lpstr>CRONOGRAMA</vt:lpstr>
      <vt:lpstr>GLP</vt:lpstr>
      <vt:lpstr>ARQ - BLOCO DE SALAS</vt:lpstr>
      <vt:lpstr>EST- ARQUIBANCADA</vt:lpstr>
      <vt:lpstr>HIDROSANITÁRIO</vt:lpstr>
      <vt:lpstr>ARQ - REFEITÓRIO</vt:lpstr>
      <vt:lpstr>ARQ - QUADRA e VESTIÁRIOS</vt:lpstr>
      <vt:lpstr>LÓGICA</vt:lpstr>
      <vt:lpstr>ELÉTRICO</vt:lpstr>
      <vt:lpstr>SPDA</vt:lpstr>
      <vt:lpstr>INCÊNDIO</vt:lpstr>
      <vt:lpstr>EST - QUADRA</vt:lpstr>
      <vt:lpstr>EST - BLOCOS 01_02</vt:lpstr>
      <vt:lpstr>EST - REFEITÓRIO 17_03</vt:lpstr>
      <vt:lpstr>EST - PERGOLADO PLAYGROUD</vt:lpstr>
      <vt:lpstr>DRENAGEM</vt:lpstr>
      <vt:lpstr>ENCARGOS SOCIAIS</vt:lpstr>
      <vt:lpstr>BDI - Aliquota ISSQN - 5,0%</vt:lpstr>
      <vt:lpstr>BDI_ Equipamento</vt:lpstr>
      <vt:lpstr>MAPA COTAÇÃO</vt:lpstr>
      <vt:lpstr>REFERENCIAS COMP.</vt:lpstr>
      <vt:lpstr>'BDI - Aliquota ISSQN - 5,0%'!Area_de_impressao</vt:lpstr>
      <vt:lpstr>CPU!Area_de_impressao</vt:lpstr>
      <vt:lpstr>'ENCARGOS SOCIAIS'!Area_de_impressao</vt:lpstr>
      <vt:lpstr>'MAPA COTAÇÃO'!Area_de_impressao</vt:lpstr>
      <vt:lpstr>CPU!Titulos_de_impressao</vt:lpstr>
      <vt:lpstr>'MAPA COTAÇÃO'!Titulos_de_impressao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045311031</dc:creator>
  <cp:lastModifiedBy>Alexandre Sordi Dall Pizzolo</cp:lastModifiedBy>
  <cp:lastPrinted>2017-04-28T18:02:12Z</cp:lastPrinted>
  <dcterms:created xsi:type="dcterms:W3CDTF">2015-08-31T13:56:44Z</dcterms:created>
  <dcterms:modified xsi:type="dcterms:W3CDTF">2017-04-28T19:00:53Z</dcterms:modified>
</cp:coreProperties>
</file>